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商贸税负平衡表" sheetId="2" r:id="rId1"/>
    <sheet name="建筑税负平衡" sheetId="3" r:id="rId2"/>
    <sheet name="物流税负平衡" sheetId="4" r:id="rId3"/>
    <sheet name="制造业税负平衡" sheetId="5" r:id="rId4"/>
    <sheet name="Sheet1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Titan</author>
  </authors>
  <commentList>
    <comment ref="I3" authorId="0">
      <text>
        <r>
          <rPr>
            <b/>
            <sz val="9"/>
            <rFont val="宋体"/>
            <charset val="134"/>
          </rPr>
          <t>Titan:</t>
        </r>
        <r>
          <rPr>
            <sz val="9"/>
            <rFont val="宋体"/>
            <charset val="134"/>
          </rPr>
          <t xml:space="preserve">
进项税发票最好不超过上月三个月不勾选</t>
        </r>
      </text>
    </comment>
  </commentList>
</comments>
</file>

<file path=xl/comments2.xml><?xml version="1.0" encoding="utf-8"?>
<comments xmlns="http://schemas.openxmlformats.org/spreadsheetml/2006/main">
  <authors>
    <author>Titan</author>
  </authors>
  <commentList>
    <comment ref="H3" authorId="0">
      <text>
        <r>
          <rPr>
            <b/>
            <sz val="9"/>
            <rFont val="宋体"/>
            <charset val="134"/>
          </rPr>
          <t>Titan:</t>
        </r>
        <r>
          <rPr>
            <sz val="9"/>
            <rFont val="宋体"/>
            <charset val="134"/>
          </rPr>
          <t xml:space="preserve">
一般纳税人最好三个月以内缴纳一次增值税
</t>
        </r>
      </text>
    </comment>
    <comment ref="J3" authorId="0">
      <text>
        <r>
          <rPr>
            <b/>
            <sz val="9"/>
            <rFont val="宋体"/>
            <charset val="134"/>
          </rPr>
          <t>Titan:</t>
        </r>
        <r>
          <rPr>
            <sz val="9"/>
            <rFont val="宋体"/>
            <charset val="134"/>
          </rPr>
          <t xml:space="preserve">
进项税发票最好不超过上月三个月不勾选</t>
        </r>
      </text>
    </comment>
  </commentList>
</comments>
</file>

<file path=xl/comments3.xml><?xml version="1.0" encoding="utf-8"?>
<comments xmlns="http://schemas.openxmlformats.org/spreadsheetml/2006/main">
  <authors>
    <author>Titan</author>
  </authors>
  <commentList>
    <comment ref="H3" authorId="0">
      <text>
        <r>
          <rPr>
            <b/>
            <sz val="9"/>
            <rFont val="宋体"/>
            <charset val="134"/>
          </rPr>
          <t>Titan:</t>
        </r>
        <r>
          <rPr>
            <sz val="9"/>
            <rFont val="宋体"/>
            <charset val="134"/>
          </rPr>
          <t xml:space="preserve">
一般纳税人最好三个月以内缴纳一次增值税
</t>
        </r>
      </text>
    </comment>
    <comment ref="J3" authorId="0">
      <text>
        <r>
          <rPr>
            <b/>
            <sz val="9"/>
            <rFont val="宋体"/>
            <charset val="134"/>
          </rPr>
          <t>Titan:</t>
        </r>
        <r>
          <rPr>
            <sz val="9"/>
            <rFont val="宋体"/>
            <charset val="134"/>
          </rPr>
          <t xml:space="preserve">
进项税发票最好不超过上月三个月不勾选</t>
        </r>
      </text>
    </comment>
  </commentList>
</comments>
</file>

<file path=xl/comments4.xml><?xml version="1.0" encoding="utf-8"?>
<comments xmlns="http://schemas.openxmlformats.org/spreadsheetml/2006/main">
  <authors>
    <author>Titan</author>
  </authors>
  <commentList>
    <comment ref="H3" authorId="0">
      <text>
        <r>
          <rPr>
            <b/>
            <sz val="9"/>
            <rFont val="宋体"/>
            <charset val="134"/>
          </rPr>
          <t>Titan:</t>
        </r>
        <r>
          <rPr>
            <sz val="9"/>
            <rFont val="宋体"/>
            <charset val="134"/>
          </rPr>
          <t xml:space="preserve">
一般纳税人最好三个月以内缴纳一次增值税
</t>
        </r>
      </text>
    </comment>
    <comment ref="J3" authorId="0">
      <text>
        <r>
          <rPr>
            <b/>
            <sz val="9"/>
            <rFont val="宋体"/>
            <charset val="134"/>
          </rPr>
          <t>Titan:</t>
        </r>
        <r>
          <rPr>
            <sz val="9"/>
            <rFont val="宋体"/>
            <charset val="134"/>
          </rPr>
          <t xml:space="preserve">
进项税发票最好不超过上月三个月不勾选</t>
        </r>
      </text>
    </comment>
  </commentList>
</comments>
</file>

<file path=xl/sharedStrings.xml><?xml version="1.0" encoding="utf-8"?>
<sst xmlns="http://schemas.openxmlformats.org/spreadsheetml/2006/main" count="215" uniqueCount="92">
  <si>
    <t>**商贸公司增值税负平衡</t>
  </si>
  <si>
    <t>1、收入--（电子税务局-开票明细）+未开票</t>
  </si>
  <si>
    <t>2.应交税负</t>
  </si>
  <si>
    <t>3、应交增值税</t>
  </si>
  <si>
    <t>4、已交税款</t>
  </si>
  <si>
    <t>5、应进进项税税额</t>
  </si>
  <si>
    <t>找票：进项票（电子税务局-勾选平台）</t>
  </si>
  <si>
    <t>月份</t>
  </si>
  <si>
    <t>金额</t>
  </si>
  <si>
    <t>税额</t>
  </si>
  <si>
    <t>含税价</t>
  </si>
  <si>
    <t>增值税主表24行本年累计数：</t>
  </si>
  <si>
    <t>品名</t>
  </si>
  <si>
    <t>占比</t>
  </si>
  <si>
    <t>进项税额</t>
  </si>
  <si>
    <t>库存商品</t>
  </si>
  <si>
    <t>费用</t>
  </si>
  <si>
    <t>上年留底税额</t>
  </si>
  <si>
    <t>固定资产</t>
  </si>
  <si>
    <t>目前实际税负</t>
  </si>
  <si>
    <t>固定资产进项税额（还原税负）：</t>
  </si>
  <si>
    <t>合计</t>
  </si>
  <si>
    <t>1、目前收入</t>
  </si>
  <si>
    <t>企业税负</t>
  </si>
  <si>
    <t>需要缴纳增值税</t>
  </si>
  <si>
    <t>已交增值税</t>
  </si>
  <si>
    <t>本月要补增值税</t>
  </si>
  <si>
    <t>2、目前需要取得发票是哪些？</t>
  </si>
  <si>
    <t>材料票：</t>
  </si>
  <si>
    <t>费用票：</t>
  </si>
  <si>
    <t>固定资产：</t>
  </si>
  <si>
    <t>3、问老板：本月还开多少发票出去？</t>
  </si>
  <si>
    <t>电话问了--再算需要的发票--需要缴纳的税款</t>
  </si>
  <si>
    <t>4、还能开多少出去？</t>
  </si>
  <si>
    <t>**建筑公司增值税税负平衡</t>
  </si>
  <si>
    <t>2、税负预警值</t>
  </si>
  <si>
    <t>5、本月应交税款</t>
  </si>
  <si>
    <t>6、应进进项税税额</t>
  </si>
  <si>
    <t>材料</t>
  </si>
  <si>
    <t>固定资产税额（还原税负）：</t>
  </si>
  <si>
    <t>成本</t>
  </si>
  <si>
    <t>承包形式</t>
  </si>
  <si>
    <t>税率</t>
  </si>
  <si>
    <t>人工</t>
  </si>
  <si>
    <t>机械作业费</t>
  </si>
  <si>
    <t>间接费用</t>
  </si>
  <si>
    <t>买卖材料</t>
  </si>
  <si>
    <t>/</t>
  </si>
  <si>
    <t>包工包料：建筑服务</t>
  </si>
  <si>
    <t>5-10%</t>
  </si>
  <si>
    <t>维保</t>
  </si>
  <si>
    <t>清包工</t>
  </si>
  <si>
    <t>**物流公司税负平衡</t>
  </si>
  <si>
    <r>
      <rPr>
        <sz val="11"/>
        <color theme="1"/>
        <rFont val="等线"/>
        <charset val="134"/>
        <scheme val="minor"/>
      </rPr>
      <t>2、税负</t>
    </r>
    <r>
      <rPr>
        <sz val="6"/>
        <color rgb="FFFF0000"/>
        <rFont val="等线"/>
        <charset val="134"/>
        <scheme val="minor"/>
      </rPr>
      <t>(上下年浮动不超过0.5%</t>
    </r>
  </si>
  <si>
    <t>7.找票：进项票（电子税务局-勾选平台）</t>
  </si>
  <si>
    <t>1--8</t>
  </si>
  <si>
    <t>服务费</t>
  </si>
  <si>
    <t>电费</t>
  </si>
  <si>
    <t>上年留底</t>
  </si>
  <si>
    <t>过路费</t>
  </si>
  <si>
    <t>轮胎</t>
  </si>
  <si>
    <t>停车费</t>
  </si>
  <si>
    <t>油费</t>
  </si>
  <si>
    <t>修理费</t>
  </si>
  <si>
    <t>运费</t>
  </si>
  <si>
    <t>保险费</t>
  </si>
  <si>
    <t>办公费</t>
  </si>
  <si>
    <t>进项税足够，只要勾选需要的进项税税额</t>
  </si>
  <si>
    <t>本月开发票</t>
  </si>
  <si>
    <t>销项税</t>
  </si>
  <si>
    <t>上月留底</t>
  </si>
  <si>
    <t>进项税转出</t>
  </si>
  <si>
    <t>已有进项税（月底之前进来）</t>
  </si>
  <si>
    <t>本月要缴纳增值税</t>
  </si>
  <si>
    <t>未勾选进项税</t>
  </si>
  <si>
    <t>还能再开多少</t>
  </si>
  <si>
    <t>进项税不够，催票--来不了就缴纳</t>
  </si>
  <si>
    <t>单位说还有发票要开回来的</t>
  </si>
  <si>
    <t>待开回进项税小计</t>
  </si>
  <si>
    <t>还缺进项税</t>
  </si>
  <si>
    <t>**制造业公司税负平衡</t>
  </si>
  <si>
    <t>2、税负</t>
  </si>
  <si>
    <t>做税负平衡（一般纳税人做，月底最迟25号之前）</t>
  </si>
  <si>
    <r>
      <rPr>
        <sz val="11"/>
        <color theme="1"/>
        <rFont val="等线"/>
        <charset val="134"/>
        <scheme val="minor"/>
      </rPr>
      <t>一、计算的思路：</t>
    </r>
    <r>
      <rPr>
        <sz val="11"/>
        <color rgb="FFFF0000"/>
        <rFont val="等线"/>
        <charset val="134"/>
        <scheme val="minor"/>
      </rPr>
      <t>（全年角度）</t>
    </r>
  </si>
  <si>
    <t>1、确定该单位已开发票多少？行业税负多少？算出来需要缴纳增值税税额（按季度/年度）---三个月以内缴纳一次税款</t>
  </si>
  <si>
    <t>税负：（销项税-进项税）/不含税收入</t>
  </si>
  <si>
    <r>
      <rPr>
        <sz val="11"/>
        <color theme="1"/>
        <rFont val="等线"/>
        <charset val="134"/>
        <scheme val="minor"/>
      </rPr>
      <t>2、已交多少增值税？（今年</t>
    </r>
    <r>
      <rPr>
        <sz val="11"/>
        <color rgb="FFFF0000"/>
        <rFont val="等线"/>
        <charset val="134"/>
        <scheme val="minor"/>
      </rPr>
      <t>累计缴</t>
    </r>
    <r>
      <rPr>
        <sz val="11"/>
        <color theme="1"/>
        <rFont val="等线"/>
        <charset val="134"/>
        <scheme val="minor"/>
      </rPr>
      <t>的增值税税额--24行本年累计数；当年购进抵扣的</t>
    </r>
    <r>
      <rPr>
        <sz val="11"/>
        <color rgb="FFFF0000"/>
        <rFont val="等线"/>
        <charset val="134"/>
        <scheme val="minor"/>
      </rPr>
      <t>固定资产税额</t>
    </r>
    <r>
      <rPr>
        <sz val="11"/>
        <color theme="1"/>
        <rFont val="等线"/>
        <charset val="134"/>
        <scheme val="minor"/>
      </rPr>
      <t>（还原税负）</t>
    </r>
  </si>
  <si>
    <r>
      <rPr>
        <sz val="11"/>
        <color theme="1"/>
        <rFont val="等线"/>
        <charset val="134"/>
        <scheme val="minor"/>
      </rPr>
      <t>还原税负：（销项税-进项税</t>
    </r>
    <r>
      <rPr>
        <sz val="11"/>
        <color rgb="FFFF0000"/>
        <rFont val="等线"/>
        <charset val="134"/>
        <scheme val="minor"/>
      </rPr>
      <t>+固定资产税额</t>
    </r>
    <r>
      <rPr>
        <sz val="11"/>
        <color theme="1"/>
        <rFont val="等线"/>
        <charset val="134"/>
        <scheme val="minor"/>
      </rPr>
      <t>）/不含税收入</t>
    </r>
  </si>
  <si>
    <r>
      <rPr>
        <sz val="11"/>
        <color theme="1"/>
        <rFont val="等线"/>
        <charset val="134"/>
        <scheme val="minor"/>
      </rPr>
      <t>3、</t>
    </r>
    <r>
      <rPr>
        <sz val="11"/>
        <color rgb="FFFF0000"/>
        <rFont val="等线"/>
        <charset val="134"/>
        <scheme val="minor"/>
      </rPr>
      <t>应缴纳的增值税</t>
    </r>
    <r>
      <rPr>
        <sz val="11"/>
        <color theme="1"/>
        <rFont val="等线"/>
        <charset val="134"/>
        <scheme val="minor"/>
      </rPr>
      <t>-已交增值税=实际要补的增值税税额（完成税负要求）</t>
    </r>
  </si>
  <si>
    <t>➡  这一步确定以后是为了跟企业沟通，本月是按照全年应补的增值税完成税负要求，还是不完成</t>
  </si>
  <si>
    <t>二、确定缴纳多少税款---确定要多少发票回来抵扣（每月底必须进来）</t>
  </si>
  <si>
    <t>三、打电话给单位之前--自己要先做工作表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</si>
</sst>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b/>
      <sz val="6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6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6"/>
      <color rgb="FFFF0000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76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left"/>
    </xf>
    <xf numFmtId="9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10" fontId="0" fillId="0" borderId="0" xfId="0" applyNumberFormat="1" applyAlignment="1">
      <alignment horizontal="left"/>
    </xf>
    <xf numFmtId="176" fontId="0" fillId="3" borderId="0" xfId="0" applyNumberFormat="1" applyFill="1" applyAlignment="1">
      <alignment horizontal="left"/>
    </xf>
    <xf numFmtId="10" fontId="1" fillId="0" borderId="0" xfId="0" applyNumberFormat="1" applyFont="1" applyAlignment="1">
      <alignment horizontal="center"/>
    </xf>
    <xf numFmtId="10" fontId="0" fillId="2" borderId="1" xfId="0" applyNumberForma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/>
    </xf>
    <xf numFmtId="10" fontId="3" fillId="0" borderId="0" xfId="0" applyNumberFormat="1" applyFont="1" applyAlignment="1">
      <alignment horizontal="left"/>
    </xf>
    <xf numFmtId="10" fontId="0" fillId="3" borderId="0" xfId="0" applyNumberFormat="1" applyFill="1" applyAlignment="1">
      <alignment horizontal="left"/>
    </xf>
    <xf numFmtId="176" fontId="3" fillId="3" borderId="0" xfId="0" applyNumberFormat="1" applyFont="1" applyFill="1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10" fontId="0" fillId="3" borderId="2" xfId="0" applyNumberFormat="1" applyFill="1" applyBorder="1" applyAlignment="1">
      <alignment horizontal="center" vertical="center"/>
    </xf>
    <xf numFmtId="10" fontId="0" fillId="3" borderId="4" xfId="0" applyNumberFormat="1" applyFill="1" applyBorder="1" applyAlignment="1">
      <alignment horizontal="center" vertical="center"/>
    </xf>
    <xf numFmtId="10" fontId="0" fillId="3" borderId="3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9" fontId="0" fillId="3" borderId="1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zoomScale="205" zoomScaleNormal="205" topLeftCell="G1" workbookViewId="0">
      <selection activeCell="C24" sqref="C24"/>
    </sheetView>
  </sheetViews>
  <sheetFormatPr defaultColWidth="9" defaultRowHeight="13.8"/>
  <cols>
    <col min="1" max="1" width="12.8796296296296" customWidth="1"/>
    <col min="2" max="2" width="8.5" customWidth="1"/>
    <col min="3" max="3" width="15.1296296296296" customWidth="1"/>
    <col min="4" max="4" width="11.6296296296296" customWidth="1"/>
    <col min="5" max="5" width="15.1296296296296" customWidth="1"/>
    <col min="6" max="6" width="14.1296296296296" customWidth="1"/>
    <col min="7" max="7" width="14.75" customWidth="1"/>
    <col min="8" max="8" width="19.7777777777778" customWidth="1"/>
    <col min="10" max="10" width="12.75" customWidth="1"/>
    <col min="11" max="11" width="8.48148148148148" style="28" customWidth="1"/>
    <col min="12" max="12" width="9.66666666666667" customWidth="1"/>
    <col min="13" max="13" width="12.75" customWidth="1"/>
  </cols>
  <sheetData>
    <row r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47"/>
      <c r="L1" s="5"/>
      <c r="M1" s="5"/>
    </row>
    <row r="2" spans="1:13">
      <c r="A2" s="5"/>
      <c r="B2" s="5"/>
      <c r="C2" s="5"/>
      <c r="D2" s="5"/>
      <c r="E2" s="5"/>
      <c r="F2" s="5"/>
      <c r="G2" s="5"/>
      <c r="H2" s="5"/>
      <c r="I2" s="5"/>
      <c r="J2" s="5"/>
      <c r="K2" s="47"/>
      <c r="L2" s="5"/>
      <c r="M2" s="5"/>
    </row>
    <row r="3" spans="1:13">
      <c r="A3" s="50" t="s">
        <v>1</v>
      </c>
      <c r="B3" s="50"/>
      <c r="C3" s="50"/>
      <c r="D3" s="50"/>
      <c r="E3" s="7" t="s">
        <v>2</v>
      </c>
      <c r="F3" s="7" t="s">
        <v>3</v>
      </c>
      <c r="G3" s="6" t="s">
        <v>4</v>
      </c>
      <c r="H3" s="8" t="s">
        <v>5</v>
      </c>
      <c r="I3" s="6" t="s">
        <v>6</v>
      </c>
      <c r="J3" s="6"/>
      <c r="K3" s="48"/>
      <c r="L3" s="6"/>
      <c r="M3" s="6"/>
    </row>
    <row r="4" ht="15.6" spans="1:13">
      <c r="A4" s="8" t="s">
        <v>7</v>
      </c>
      <c r="B4" s="8" t="s">
        <v>8</v>
      </c>
      <c r="C4" s="8" t="s">
        <v>9</v>
      </c>
      <c r="D4" s="8" t="s">
        <v>10</v>
      </c>
      <c r="E4" s="70">
        <f>10%*13%*80%</f>
        <v>0.0104</v>
      </c>
      <c r="F4" s="7">
        <f>B17*E4</f>
        <v>14476.0616</v>
      </c>
      <c r="G4" s="10" t="s">
        <v>11</v>
      </c>
      <c r="H4" s="8">
        <f>C17-F17</f>
        <v>166474.7084</v>
      </c>
      <c r="I4" s="8" t="s">
        <v>12</v>
      </c>
      <c r="J4" s="8" t="s">
        <v>8</v>
      </c>
      <c r="K4" s="25" t="s">
        <v>13</v>
      </c>
      <c r="L4" s="8" t="s">
        <v>14</v>
      </c>
      <c r="M4" s="8" t="s">
        <v>10</v>
      </c>
    </row>
    <row r="5" spans="1:13">
      <c r="A5" s="8">
        <v>1</v>
      </c>
      <c r="B5" s="8">
        <v>56000</v>
      </c>
      <c r="C5" s="50">
        <f>B5*0.13</f>
        <v>7280</v>
      </c>
      <c r="D5" s="50">
        <f>B5+C5</f>
        <v>63280</v>
      </c>
      <c r="E5" s="70"/>
      <c r="F5" s="7"/>
      <c r="G5" s="71">
        <f>C17-G8-L17</f>
        <v>46110.77</v>
      </c>
      <c r="H5" s="8"/>
      <c r="I5" s="8" t="s">
        <v>15</v>
      </c>
      <c r="J5" s="8">
        <f>935000+1200000</f>
        <v>2135000</v>
      </c>
      <c r="K5" s="25">
        <f>J5/B17</f>
        <v>1.53384260260401</v>
      </c>
      <c r="L5" s="8">
        <v>121550</v>
      </c>
      <c r="M5" s="8">
        <f>J5+L5</f>
        <v>2256550</v>
      </c>
    </row>
    <row r="6" spans="1:13">
      <c r="A6" s="8">
        <v>2</v>
      </c>
      <c r="B6" s="8">
        <v>23000</v>
      </c>
      <c r="C6" s="50">
        <f t="shared" ref="C6:C16" si="0">B6*0.13</f>
        <v>2990</v>
      </c>
      <c r="D6" s="50">
        <f t="shared" ref="D6:D16" si="1">B6+C6</f>
        <v>25990</v>
      </c>
      <c r="E6" s="70"/>
      <c r="F6" s="7"/>
      <c r="G6" s="72"/>
      <c r="H6" s="8"/>
      <c r="I6" s="8" t="s">
        <v>16</v>
      </c>
      <c r="J6" s="8">
        <v>6000</v>
      </c>
      <c r="K6" s="25">
        <f>J6/B17</f>
        <v>0.00431056469115882</v>
      </c>
      <c r="L6" s="8">
        <f>J6*0.06</f>
        <v>360</v>
      </c>
      <c r="M6" s="8">
        <f t="shared" ref="M6:M16" si="2">J6+L6</f>
        <v>6360</v>
      </c>
    </row>
    <row r="7" spans="1:13">
      <c r="A7" s="8">
        <v>3</v>
      </c>
      <c r="B7" s="8">
        <v>56897</v>
      </c>
      <c r="C7" s="50">
        <f t="shared" si="0"/>
        <v>7396.61</v>
      </c>
      <c r="D7" s="50">
        <f t="shared" si="1"/>
        <v>64293.61</v>
      </c>
      <c r="E7" s="70"/>
      <c r="F7" s="7"/>
      <c r="G7" s="7" t="s">
        <v>17</v>
      </c>
      <c r="H7" s="8"/>
      <c r="I7" s="8" t="s">
        <v>18</v>
      </c>
      <c r="J7" s="8">
        <v>90000</v>
      </c>
      <c r="K7" s="25">
        <f>J7/B17</f>
        <v>0.0646584703673822</v>
      </c>
      <c r="L7" s="8">
        <f>J7*0.13</f>
        <v>11700</v>
      </c>
      <c r="M7" s="8">
        <f t="shared" si="2"/>
        <v>101700</v>
      </c>
    </row>
    <row r="8" spans="1:13">
      <c r="A8" s="8">
        <v>4</v>
      </c>
      <c r="B8" s="8">
        <v>56222</v>
      </c>
      <c r="C8" s="50">
        <f t="shared" si="0"/>
        <v>7308.86</v>
      </c>
      <c r="D8" s="50">
        <f t="shared" si="1"/>
        <v>63530.86</v>
      </c>
      <c r="E8" s="70"/>
      <c r="F8" s="7"/>
      <c r="G8" s="11">
        <v>1230</v>
      </c>
      <c r="H8" s="8"/>
      <c r="I8" s="8"/>
      <c r="J8" s="8"/>
      <c r="K8" s="25"/>
      <c r="L8" s="8"/>
      <c r="M8" s="8">
        <f t="shared" si="2"/>
        <v>0</v>
      </c>
    </row>
    <row r="9" spans="1:13">
      <c r="A9" s="8">
        <v>5</v>
      </c>
      <c r="B9" s="8">
        <v>59111</v>
      </c>
      <c r="C9" s="50">
        <f t="shared" si="0"/>
        <v>7684.43</v>
      </c>
      <c r="D9" s="50">
        <f t="shared" si="1"/>
        <v>66795.43</v>
      </c>
      <c r="E9" s="70"/>
      <c r="F9" s="7"/>
      <c r="G9" s="12"/>
      <c r="H9" s="8"/>
      <c r="I9" s="8"/>
      <c r="J9" s="8"/>
      <c r="K9" s="25"/>
      <c r="L9" s="8"/>
      <c r="M9" s="8">
        <f t="shared" si="2"/>
        <v>0</v>
      </c>
    </row>
    <row r="10" ht="15.6" spans="1:13">
      <c r="A10" s="8">
        <v>6</v>
      </c>
      <c r="B10" s="8">
        <v>69778</v>
      </c>
      <c r="C10" s="50">
        <f t="shared" si="0"/>
        <v>9071.14</v>
      </c>
      <c r="D10" s="50">
        <f t="shared" si="1"/>
        <v>78849.14</v>
      </c>
      <c r="E10" s="13" t="s">
        <v>19</v>
      </c>
      <c r="F10" s="7"/>
      <c r="G10" s="10" t="s">
        <v>20</v>
      </c>
      <c r="H10" s="8"/>
      <c r="I10" s="8"/>
      <c r="J10" s="8"/>
      <c r="K10" s="25"/>
      <c r="L10" s="8"/>
      <c r="M10" s="8">
        <f t="shared" si="2"/>
        <v>0</v>
      </c>
    </row>
    <row r="11" spans="1:13">
      <c r="A11" s="8">
        <v>7</v>
      </c>
      <c r="B11" s="8">
        <v>56223</v>
      </c>
      <c r="C11" s="50">
        <f t="shared" si="0"/>
        <v>7308.99</v>
      </c>
      <c r="D11" s="50">
        <f t="shared" si="1"/>
        <v>63531.99</v>
      </c>
      <c r="E11" s="58">
        <f>G17/B17</f>
        <v>0.0424165097501381</v>
      </c>
      <c r="F11" s="7"/>
      <c r="G11" s="73">
        <f>L7</f>
        <v>11700</v>
      </c>
      <c r="H11" s="8"/>
      <c r="I11" s="8"/>
      <c r="J11" s="8"/>
      <c r="K11" s="25"/>
      <c r="L11" s="8"/>
      <c r="M11" s="8">
        <f t="shared" si="2"/>
        <v>0</v>
      </c>
    </row>
    <row r="12" spans="1:13">
      <c r="A12" s="8">
        <v>8</v>
      </c>
      <c r="B12" s="8">
        <v>126698</v>
      </c>
      <c r="C12" s="50">
        <f t="shared" si="0"/>
        <v>16470.74</v>
      </c>
      <c r="D12" s="50">
        <f t="shared" si="1"/>
        <v>143168.74</v>
      </c>
      <c r="E12" s="59"/>
      <c r="F12" s="7"/>
      <c r="G12" s="74"/>
      <c r="H12" s="8"/>
      <c r="I12" s="8"/>
      <c r="J12" s="8"/>
      <c r="K12" s="25"/>
      <c r="L12" s="8"/>
      <c r="M12" s="8">
        <f t="shared" si="2"/>
        <v>0</v>
      </c>
    </row>
    <row r="13" spans="1:13">
      <c r="A13" s="8">
        <v>9</v>
      </c>
      <c r="B13" s="8">
        <v>23000</v>
      </c>
      <c r="C13" s="50">
        <f t="shared" si="0"/>
        <v>2990</v>
      </c>
      <c r="D13" s="50">
        <f t="shared" si="1"/>
        <v>25990</v>
      </c>
      <c r="E13" s="59"/>
      <c r="F13" s="7"/>
      <c r="G13" s="74"/>
      <c r="H13" s="8"/>
      <c r="I13" s="8"/>
      <c r="J13" s="8"/>
      <c r="K13" s="25"/>
      <c r="L13" s="8"/>
      <c r="M13" s="8">
        <f t="shared" si="2"/>
        <v>0</v>
      </c>
    </row>
    <row r="14" spans="1:13">
      <c r="A14" s="8">
        <v>10</v>
      </c>
      <c r="B14" s="8">
        <v>56000</v>
      </c>
      <c r="C14" s="50">
        <f t="shared" si="0"/>
        <v>7280</v>
      </c>
      <c r="D14" s="50">
        <f t="shared" si="1"/>
        <v>63280</v>
      </c>
      <c r="E14" s="59"/>
      <c r="F14" s="7"/>
      <c r="G14" s="74"/>
      <c r="H14" s="8"/>
      <c r="I14" s="8"/>
      <c r="J14" s="8"/>
      <c r="K14" s="25"/>
      <c r="L14" s="8"/>
      <c r="M14" s="8">
        <f t="shared" si="2"/>
        <v>0</v>
      </c>
    </row>
    <row r="15" spans="1:13">
      <c r="A15" s="8">
        <v>11</v>
      </c>
      <c r="B15" s="8">
        <f>49000+500000</f>
        <v>549000</v>
      </c>
      <c r="C15" s="50">
        <f t="shared" si="0"/>
        <v>71370</v>
      </c>
      <c r="D15" s="50">
        <f t="shared" si="1"/>
        <v>620370</v>
      </c>
      <c r="E15" s="59"/>
      <c r="F15" s="7"/>
      <c r="G15" s="74"/>
      <c r="H15" s="8"/>
      <c r="I15" s="8"/>
      <c r="J15" s="8"/>
      <c r="K15" s="25"/>
      <c r="L15" s="8"/>
      <c r="M15" s="8">
        <f t="shared" si="2"/>
        <v>0</v>
      </c>
    </row>
    <row r="16" spans="1:13">
      <c r="A16" s="8">
        <v>12</v>
      </c>
      <c r="B16" s="8">
        <v>260000</v>
      </c>
      <c r="C16" s="50">
        <f t="shared" si="0"/>
        <v>33800</v>
      </c>
      <c r="D16" s="50">
        <f t="shared" si="1"/>
        <v>293800</v>
      </c>
      <c r="E16" s="59"/>
      <c r="F16" s="7"/>
      <c r="G16" s="75"/>
      <c r="H16" s="8"/>
      <c r="I16" s="8"/>
      <c r="J16" s="8"/>
      <c r="K16" s="25"/>
      <c r="L16" s="8"/>
      <c r="M16" s="8">
        <f t="shared" si="2"/>
        <v>0</v>
      </c>
    </row>
    <row r="17" spans="1:13">
      <c r="A17" s="8" t="s">
        <v>21</v>
      </c>
      <c r="B17" s="50">
        <f>SUM(B5:B16)</f>
        <v>1391929</v>
      </c>
      <c r="C17" s="50">
        <f>SUM(C5:C16)</f>
        <v>180950.77</v>
      </c>
      <c r="D17" s="50">
        <f>SUM(D5:D16)</f>
        <v>1572879.77</v>
      </c>
      <c r="E17" s="60"/>
      <c r="F17" s="21">
        <f>SUM(F4)</f>
        <v>14476.0616</v>
      </c>
      <c r="G17" s="21">
        <f>G5+G8+G11</f>
        <v>59040.77</v>
      </c>
      <c r="H17" s="27">
        <f>SUM(H4)</f>
        <v>166474.7084</v>
      </c>
      <c r="I17" s="8"/>
      <c r="J17" s="8">
        <f>SUM(J5:J16)</f>
        <v>2231000</v>
      </c>
      <c r="K17" s="25"/>
      <c r="L17" s="19">
        <f>SUM(L5:L16)</f>
        <v>133610</v>
      </c>
      <c r="M17" s="8">
        <f t="shared" ref="M17" si="3">SUM(M5:M16)</f>
        <v>2364610</v>
      </c>
    </row>
    <row r="19" s="4" customFormat="1" spans="1:11">
      <c r="A19" s="4" t="s">
        <v>22</v>
      </c>
      <c r="B19" s="4" t="s">
        <v>23</v>
      </c>
      <c r="C19" s="4" t="s">
        <v>24</v>
      </c>
      <c r="D19" s="4" t="s">
        <v>25</v>
      </c>
      <c r="E19" s="22" t="s">
        <v>26</v>
      </c>
      <c r="K19" s="45"/>
    </row>
    <row r="20" s="4" customFormat="1" spans="1:11">
      <c r="A20" s="4">
        <f>D5</f>
        <v>63280</v>
      </c>
      <c r="B20" s="23">
        <f>E4</f>
        <v>0.0104</v>
      </c>
      <c r="C20" s="4">
        <f>F17</f>
        <v>14476.0616</v>
      </c>
      <c r="D20" s="4">
        <f>G17</f>
        <v>59040.77</v>
      </c>
      <c r="E20" s="22">
        <f>C17-G8-L17</f>
        <v>46110.77</v>
      </c>
      <c r="K20" s="45"/>
    </row>
    <row r="21" s="4" customFormat="1" spans="11:11">
      <c r="K21" s="45"/>
    </row>
    <row r="22" s="4" customFormat="1" spans="1:11">
      <c r="A22" s="4" t="s">
        <v>27</v>
      </c>
      <c r="K22" s="45"/>
    </row>
    <row r="23" s="4" customFormat="1" spans="1:11">
      <c r="A23" s="4" t="s">
        <v>28</v>
      </c>
      <c r="B23" s="4">
        <f>M5</f>
        <v>2256550</v>
      </c>
      <c r="K23" s="45"/>
    </row>
    <row r="24" s="4" customFormat="1" spans="1:11">
      <c r="A24" s="4" t="s">
        <v>29</v>
      </c>
      <c r="B24" s="4">
        <f>M6</f>
        <v>6360</v>
      </c>
      <c r="K24" s="45"/>
    </row>
    <row r="25" s="4" customFormat="1" spans="1:11">
      <c r="A25" s="4" t="s">
        <v>30</v>
      </c>
      <c r="B25" s="4">
        <f>M7</f>
        <v>101700</v>
      </c>
      <c r="K25" s="45"/>
    </row>
    <row r="26" s="4" customFormat="1" spans="11:11">
      <c r="K26" s="45"/>
    </row>
    <row r="27" s="4" customFormat="1" spans="11:11">
      <c r="K27" s="45"/>
    </row>
    <row r="28" s="4" customFormat="1" spans="1:11">
      <c r="A28" s="4" t="s">
        <v>31</v>
      </c>
      <c r="K28" s="45"/>
    </row>
    <row r="29" s="4" customFormat="1" spans="1:11">
      <c r="A29" s="4" t="s">
        <v>32</v>
      </c>
      <c r="K29" s="45"/>
    </row>
    <row r="30" s="4" customFormat="1" spans="11:11">
      <c r="K30" s="45"/>
    </row>
    <row r="31" s="4" customFormat="1" spans="1:11">
      <c r="A31" s="4" t="s">
        <v>33</v>
      </c>
      <c r="K31" s="45"/>
    </row>
    <row r="32" s="4" customFormat="1" spans="1:11">
      <c r="A32" s="24">
        <f>(L17+F4-C17)/0.13*1.13</f>
        <v>-285670.157630769</v>
      </c>
      <c r="K32" s="45"/>
    </row>
    <row r="33" s="4" customFormat="1" spans="11:11">
      <c r="K33" s="45"/>
    </row>
    <row r="34" s="4" customFormat="1" spans="11:11">
      <c r="K34" s="45"/>
    </row>
    <row r="35" s="4" customFormat="1" spans="11:11">
      <c r="K35" s="45"/>
    </row>
    <row r="36" s="4" customFormat="1" spans="11:11">
      <c r="K36" s="45"/>
    </row>
    <row r="37" s="4" customFormat="1" spans="11:11">
      <c r="K37" s="45"/>
    </row>
    <row r="38" s="4" customFormat="1" spans="11:11">
      <c r="K38" s="45"/>
    </row>
    <row r="39" s="4" customFormat="1" spans="11:11">
      <c r="K39" s="45"/>
    </row>
  </sheetData>
  <mergeCells count="10">
    <mergeCell ref="A3:D3"/>
    <mergeCell ref="I3:M3"/>
    <mergeCell ref="E4:E9"/>
    <mergeCell ref="E11:E17"/>
    <mergeCell ref="F4:F16"/>
    <mergeCell ref="G5:G6"/>
    <mergeCell ref="G8:G9"/>
    <mergeCell ref="G11:G16"/>
    <mergeCell ref="H4:H16"/>
    <mergeCell ref="A1:M2"/>
  </mergeCell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zoomScale="160" zoomScaleNormal="160" topLeftCell="F1" workbookViewId="0">
      <selection activeCell="I26" sqref="I26"/>
    </sheetView>
  </sheetViews>
  <sheetFormatPr defaultColWidth="9" defaultRowHeight="13.8"/>
  <cols>
    <col min="1" max="1" width="12.8796296296296" customWidth="1"/>
    <col min="2" max="2" width="8.5" customWidth="1"/>
    <col min="3" max="3" width="15.1296296296296" customWidth="1"/>
    <col min="4" max="4" width="11.6296296296296" customWidth="1"/>
    <col min="5" max="5" width="15.1296296296296" customWidth="1"/>
    <col min="6" max="6" width="20.8888888888889" customWidth="1"/>
    <col min="7" max="7" width="9.30555555555556" customWidth="1"/>
    <col min="8" max="8" width="9.2962962962963" customWidth="1"/>
    <col min="9" max="9" width="12.7777777777778" customWidth="1"/>
    <col min="10" max="10" width="11.8888888888889" customWidth="1"/>
    <col min="11" max="11" width="12.75" customWidth="1"/>
    <col min="12" max="12" width="12.75" style="28" customWidth="1"/>
    <col min="13" max="13" width="7.5" customWidth="1"/>
    <col min="14" max="14" width="12.75" customWidth="1"/>
  </cols>
  <sheetData>
    <row r="1" spans="1:14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47"/>
      <c r="M1" s="5"/>
      <c r="N1" s="5"/>
    </row>
    <row r="2" spans="1: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7"/>
      <c r="M2" s="5"/>
      <c r="N2" s="5"/>
    </row>
    <row r="3" spans="1:14">
      <c r="A3" s="6" t="s">
        <v>1</v>
      </c>
      <c r="B3" s="6"/>
      <c r="C3" s="6"/>
      <c r="D3" s="6"/>
      <c r="E3" s="7" t="s">
        <v>35</v>
      </c>
      <c r="F3" s="7" t="s">
        <v>3</v>
      </c>
      <c r="G3" s="6" t="s">
        <v>4</v>
      </c>
      <c r="H3" s="8" t="s">
        <v>36</v>
      </c>
      <c r="I3" s="8" t="s">
        <v>37</v>
      </c>
      <c r="J3" s="6" t="s">
        <v>6</v>
      </c>
      <c r="K3" s="6"/>
      <c r="L3" s="48"/>
      <c r="M3" s="6"/>
      <c r="N3" s="6"/>
    </row>
    <row r="4" ht="15.6" spans="1:14">
      <c r="A4" s="8" t="s">
        <v>7</v>
      </c>
      <c r="B4" s="8" t="s">
        <v>8</v>
      </c>
      <c r="C4" s="8" t="s">
        <v>9</v>
      </c>
      <c r="D4" s="8" t="s">
        <v>10</v>
      </c>
      <c r="E4" s="9">
        <v>0.025</v>
      </c>
      <c r="F4" s="57">
        <f>B17*E4</f>
        <v>27501.375</v>
      </c>
      <c r="G4" s="10" t="s">
        <v>11</v>
      </c>
      <c r="H4" s="8">
        <f>F17-G17</f>
        <v>14501.375</v>
      </c>
      <c r="I4" s="8">
        <f>C17-F17</f>
        <v>71503.575</v>
      </c>
      <c r="J4" s="8" t="s">
        <v>12</v>
      </c>
      <c r="K4" s="8" t="s">
        <v>8</v>
      </c>
      <c r="L4" s="25" t="s">
        <v>13</v>
      </c>
      <c r="M4" s="8" t="s">
        <v>9</v>
      </c>
      <c r="N4" s="8" t="s">
        <v>10</v>
      </c>
    </row>
    <row r="5" spans="1:14">
      <c r="A5" s="8">
        <v>1</v>
      </c>
      <c r="B5" s="8">
        <v>100000</v>
      </c>
      <c r="C5" s="50">
        <f>B5*0.09</f>
        <v>9000</v>
      </c>
      <c r="D5" s="8">
        <f>B5*1.09</f>
        <v>109000</v>
      </c>
      <c r="E5" s="9"/>
      <c r="F5" s="57"/>
      <c r="G5" s="11"/>
      <c r="H5" s="8"/>
      <c r="I5" s="8"/>
      <c r="J5" s="8" t="s">
        <v>38</v>
      </c>
      <c r="K5" s="8">
        <f>B5*0.45</f>
        <v>45000</v>
      </c>
      <c r="L5" s="49">
        <f>K5/B17</f>
        <v>0.0409070455568131</v>
      </c>
      <c r="M5" s="65"/>
      <c r="N5" s="8">
        <f>K5+M5</f>
        <v>45000</v>
      </c>
    </row>
    <row r="6" spans="1:14">
      <c r="A6" s="8">
        <v>2</v>
      </c>
      <c r="B6" s="8">
        <v>100001</v>
      </c>
      <c r="C6" s="50">
        <f t="shared" ref="C6:C16" si="0">B6*0.09</f>
        <v>9000.09</v>
      </c>
      <c r="D6" s="8">
        <f t="shared" ref="D6:D17" si="1">B6*1.09</f>
        <v>109001.09</v>
      </c>
      <c r="E6" s="9"/>
      <c r="F6" s="57"/>
      <c r="G6" s="12"/>
      <c r="H6" s="8"/>
      <c r="I6" s="8"/>
      <c r="J6" s="8" t="s">
        <v>16</v>
      </c>
      <c r="K6" s="8">
        <f>M6/0.13</f>
        <v>0</v>
      </c>
      <c r="L6" s="66">
        <f>K6/B17</f>
        <v>0</v>
      </c>
      <c r="M6" s="65"/>
      <c r="N6" s="8">
        <f t="shared" ref="N6:N16" si="2">K6+M6</f>
        <v>0</v>
      </c>
    </row>
    <row r="7" spans="1:14">
      <c r="A7" s="8">
        <v>3</v>
      </c>
      <c r="B7" s="8">
        <v>100002</v>
      </c>
      <c r="C7" s="50">
        <f t="shared" si="0"/>
        <v>9000.18</v>
      </c>
      <c r="D7" s="8">
        <f t="shared" si="1"/>
        <v>109002.18</v>
      </c>
      <c r="E7" s="9"/>
      <c r="F7" s="57"/>
      <c r="G7" s="7" t="s">
        <v>17</v>
      </c>
      <c r="H7" s="8"/>
      <c r="I7" s="8"/>
      <c r="J7" s="8" t="s">
        <v>18</v>
      </c>
      <c r="K7" s="8">
        <v>130000</v>
      </c>
      <c r="L7" s="66">
        <f>K7/B17</f>
        <v>0.118175909386349</v>
      </c>
      <c r="M7" s="65"/>
      <c r="N7" s="8">
        <f t="shared" si="2"/>
        <v>130000</v>
      </c>
    </row>
    <row r="8" spans="1:14">
      <c r="A8" s="8">
        <v>4</v>
      </c>
      <c r="B8" s="8">
        <v>100003</v>
      </c>
      <c r="C8" s="50">
        <f t="shared" si="0"/>
        <v>9000.27</v>
      </c>
      <c r="D8" s="8">
        <f t="shared" si="1"/>
        <v>109003.27</v>
      </c>
      <c r="E8" s="9"/>
      <c r="F8" s="57"/>
      <c r="G8" s="11"/>
      <c r="H8" s="8"/>
      <c r="I8" s="8"/>
      <c r="J8" s="8"/>
      <c r="K8" s="8"/>
      <c r="L8" s="66"/>
      <c r="M8" s="65"/>
      <c r="N8" s="8">
        <f t="shared" si="2"/>
        <v>0</v>
      </c>
    </row>
    <row r="9" spans="1:14">
      <c r="A9" s="8">
        <v>5</v>
      </c>
      <c r="B9" s="8">
        <v>100004</v>
      </c>
      <c r="C9" s="50">
        <f t="shared" si="0"/>
        <v>9000.36</v>
      </c>
      <c r="D9" s="8">
        <f t="shared" si="1"/>
        <v>109004.36</v>
      </c>
      <c r="E9" s="9"/>
      <c r="F9" s="57"/>
      <c r="G9" s="12"/>
      <c r="H9" s="8"/>
      <c r="I9" s="8"/>
      <c r="J9" s="8"/>
      <c r="K9" s="8"/>
      <c r="L9" s="66"/>
      <c r="M9" s="65"/>
      <c r="N9" s="8">
        <f t="shared" si="2"/>
        <v>0</v>
      </c>
    </row>
    <row r="10" ht="15.6" spans="1:14">
      <c r="A10" s="8">
        <v>6</v>
      </c>
      <c r="B10" s="8">
        <v>100005</v>
      </c>
      <c r="C10" s="50">
        <f t="shared" si="0"/>
        <v>9000.45</v>
      </c>
      <c r="D10" s="8">
        <f t="shared" si="1"/>
        <v>109005.45</v>
      </c>
      <c r="E10" s="13" t="s">
        <v>19</v>
      </c>
      <c r="F10" s="57"/>
      <c r="G10" s="10" t="s">
        <v>39</v>
      </c>
      <c r="H10" s="8"/>
      <c r="I10" s="8"/>
      <c r="J10" s="8"/>
      <c r="K10" s="8"/>
      <c r="L10" s="66"/>
      <c r="M10" s="65"/>
      <c r="N10" s="8">
        <f t="shared" si="2"/>
        <v>0</v>
      </c>
    </row>
    <row r="11" spans="1:14">
      <c r="A11" s="8">
        <v>7</v>
      </c>
      <c r="B11" s="8">
        <v>100006</v>
      </c>
      <c r="C11" s="50">
        <f t="shared" si="0"/>
        <v>9000.54</v>
      </c>
      <c r="D11" s="8">
        <f t="shared" si="1"/>
        <v>109006.54</v>
      </c>
      <c r="E11" s="58">
        <f>G17/B17</f>
        <v>0.0118175909386349</v>
      </c>
      <c r="F11" s="57"/>
      <c r="G11" s="15">
        <v>13000</v>
      </c>
      <c r="H11" s="8"/>
      <c r="I11" s="8"/>
      <c r="J11" s="8"/>
      <c r="K11" s="8"/>
      <c r="L11" s="66"/>
      <c r="M11" s="65"/>
      <c r="N11" s="8">
        <f t="shared" si="2"/>
        <v>0</v>
      </c>
    </row>
    <row r="12" spans="1:14">
      <c r="A12" s="8">
        <v>8</v>
      </c>
      <c r="B12" s="8">
        <v>100007</v>
      </c>
      <c r="C12" s="50">
        <f t="shared" si="0"/>
        <v>9000.63</v>
      </c>
      <c r="D12" s="8">
        <f t="shared" si="1"/>
        <v>109007.63</v>
      </c>
      <c r="E12" s="59"/>
      <c r="F12" s="57"/>
      <c r="G12" s="17"/>
      <c r="H12" s="8"/>
      <c r="I12" s="8"/>
      <c r="J12" s="8"/>
      <c r="K12" s="8"/>
      <c r="L12" s="66"/>
      <c r="M12" s="65"/>
      <c r="N12" s="8">
        <f t="shared" si="2"/>
        <v>0</v>
      </c>
    </row>
    <row r="13" spans="1:14">
      <c r="A13" s="8">
        <v>9</v>
      </c>
      <c r="B13" s="8">
        <v>100008</v>
      </c>
      <c r="C13" s="50">
        <f t="shared" si="0"/>
        <v>9000.72</v>
      </c>
      <c r="D13" s="8">
        <f t="shared" si="1"/>
        <v>109008.72</v>
      </c>
      <c r="E13" s="59"/>
      <c r="F13" s="57"/>
      <c r="G13" s="17"/>
      <c r="H13" s="8"/>
      <c r="I13" s="8"/>
      <c r="J13" s="8"/>
      <c r="K13" s="8"/>
      <c r="L13" s="66"/>
      <c r="M13" s="65"/>
      <c r="N13" s="8">
        <f t="shared" si="2"/>
        <v>0</v>
      </c>
    </row>
    <row r="14" spans="1:14">
      <c r="A14" s="8">
        <v>10</v>
      </c>
      <c r="B14" s="8">
        <v>100009</v>
      </c>
      <c r="C14" s="50">
        <f t="shared" si="0"/>
        <v>9000.81</v>
      </c>
      <c r="D14" s="8">
        <f t="shared" si="1"/>
        <v>109009.81</v>
      </c>
      <c r="E14" s="59"/>
      <c r="F14" s="57"/>
      <c r="G14" s="17"/>
      <c r="H14" s="8"/>
      <c r="I14" s="8"/>
      <c r="J14" s="8"/>
      <c r="K14" s="8"/>
      <c r="L14" s="66"/>
      <c r="M14" s="65"/>
      <c r="N14" s="8">
        <f t="shared" si="2"/>
        <v>0</v>
      </c>
    </row>
    <row r="15" spans="1:14">
      <c r="A15" s="8">
        <v>11</v>
      </c>
      <c r="B15" s="8">
        <v>100010</v>
      </c>
      <c r="C15" s="50">
        <f t="shared" si="0"/>
        <v>9000.9</v>
      </c>
      <c r="D15" s="8">
        <f t="shared" si="1"/>
        <v>109010.9</v>
      </c>
      <c r="E15" s="59"/>
      <c r="F15" s="57"/>
      <c r="G15" s="17"/>
      <c r="H15" s="8"/>
      <c r="I15" s="8"/>
      <c r="J15" s="8"/>
      <c r="K15" s="8"/>
      <c r="L15" s="66"/>
      <c r="M15" s="65"/>
      <c r="N15" s="8">
        <f t="shared" si="2"/>
        <v>0</v>
      </c>
    </row>
    <row r="16" spans="1:14">
      <c r="A16" s="8">
        <v>12</v>
      </c>
      <c r="B16" s="8"/>
      <c r="C16" s="50">
        <f t="shared" si="0"/>
        <v>0</v>
      </c>
      <c r="D16" s="8">
        <f t="shared" si="1"/>
        <v>0</v>
      </c>
      <c r="E16" s="59"/>
      <c r="F16" s="57"/>
      <c r="G16" s="18"/>
      <c r="H16" s="8"/>
      <c r="I16" s="8"/>
      <c r="J16" s="8"/>
      <c r="K16" s="8"/>
      <c r="L16" s="66"/>
      <c r="M16" s="65"/>
      <c r="N16" s="8">
        <f t="shared" si="2"/>
        <v>0</v>
      </c>
    </row>
    <row r="17" spans="1:14">
      <c r="A17" s="8" t="s">
        <v>21</v>
      </c>
      <c r="B17" s="8">
        <f>SUM(B5:B16)</f>
        <v>1100055</v>
      </c>
      <c r="C17" s="50">
        <f>B17*0.09</f>
        <v>99004.95</v>
      </c>
      <c r="D17" s="8">
        <f t="shared" si="1"/>
        <v>1199059.95</v>
      </c>
      <c r="E17" s="60"/>
      <c r="F17" s="21">
        <f>SUM(F4)</f>
        <v>27501.375</v>
      </c>
      <c r="G17" s="61">
        <f>G5+G8+G11</f>
        <v>13000</v>
      </c>
      <c r="H17" s="21">
        <f>SUM(H4)</f>
        <v>14501.375</v>
      </c>
      <c r="I17" s="27">
        <f>SUM(I4)</f>
        <v>71503.575</v>
      </c>
      <c r="J17" s="8"/>
      <c r="K17" s="8">
        <f>SUM(K5:K16)</f>
        <v>175000</v>
      </c>
      <c r="L17" s="25"/>
      <c r="M17" s="27">
        <f>SUM(M5:M16)</f>
        <v>0</v>
      </c>
      <c r="N17" s="8">
        <f t="shared" ref="N17" si="3">SUM(N5:N16)</f>
        <v>175000</v>
      </c>
    </row>
    <row r="19" s="4" customFormat="1" spans="1:12">
      <c r="A19" s="4" t="s">
        <v>22</v>
      </c>
      <c r="B19" s="4" t="s">
        <v>23</v>
      </c>
      <c r="C19" s="4" t="s">
        <v>24</v>
      </c>
      <c r="D19" s="4" t="s">
        <v>25</v>
      </c>
      <c r="E19" s="22" t="s">
        <v>26</v>
      </c>
      <c r="L19" s="45"/>
    </row>
    <row r="20" s="4" customFormat="1" spans="1:12">
      <c r="A20" s="4">
        <f>D5</f>
        <v>109000</v>
      </c>
      <c r="B20" s="23">
        <f>E4</f>
        <v>0.025</v>
      </c>
      <c r="C20" s="4">
        <f>F17</f>
        <v>27501.375</v>
      </c>
      <c r="D20" s="4">
        <f>G17</f>
        <v>13000</v>
      </c>
      <c r="E20" s="22">
        <f>H17</f>
        <v>14501.375</v>
      </c>
      <c r="L20" s="45"/>
    </row>
    <row r="21" s="4" customFormat="1" spans="12:12">
      <c r="L21" s="45"/>
    </row>
    <row r="22" s="4" customFormat="1" spans="1:12">
      <c r="A22" s="4" t="s">
        <v>27</v>
      </c>
      <c r="L22" s="45"/>
    </row>
    <row r="23" s="4" customFormat="1" spans="1:12">
      <c r="A23" s="4" t="s">
        <v>28</v>
      </c>
      <c r="B23" s="4">
        <f>N5</f>
        <v>45000</v>
      </c>
      <c r="F23" s="62"/>
      <c r="G23" s="62"/>
      <c r="H23" s="63" t="s">
        <v>40</v>
      </c>
      <c r="I23" s="63"/>
      <c r="J23" s="63"/>
      <c r="K23" s="63"/>
      <c r="L23" s="63"/>
    </row>
    <row r="24" s="4" customFormat="1" spans="1:12">
      <c r="A24" s="4" t="s">
        <v>29</v>
      </c>
      <c r="B24" s="4">
        <f>N6</f>
        <v>0</v>
      </c>
      <c r="F24" s="62" t="s">
        <v>41</v>
      </c>
      <c r="G24" s="62" t="s">
        <v>42</v>
      </c>
      <c r="H24" s="62" t="s">
        <v>21</v>
      </c>
      <c r="I24" s="62" t="s">
        <v>38</v>
      </c>
      <c r="J24" s="62" t="s">
        <v>43</v>
      </c>
      <c r="K24" s="62" t="s">
        <v>44</v>
      </c>
      <c r="L24" s="62" t="s">
        <v>45</v>
      </c>
    </row>
    <row r="25" s="4" customFormat="1" spans="1:12">
      <c r="A25" s="4" t="s">
        <v>30</v>
      </c>
      <c r="B25" s="4">
        <f>N7</f>
        <v>130000</v>
      </c>
      <c r="F25" s="62" t="s">
        <v>46</v>
      </c>
      <c r="G25" s="64">
        <v>0.13</v>
      </c>
      <c r="H25" s="64">
        <v>0.9</v>
      </c>
      <c r="I25" s="64">
        <v>0.9</v>
      </c>
      <c r="J25" s="62" t="s">
        <v>47</v>
      </c>
      <c r="K25" s="62" t="s">
        <v>47</v>
      </c>
      <c r="L25" s="67" t="s">
        <v>47</v>
      </c>
    </row>
    <row r="26" s="4" customFormat="1" spans="6:12">
      <c r="F26" s="62" t="s">
        <v>48</v>
      </c>
      <c r="G26" s="64">
        <v>0.09</v>
      </c>
      <c r="H26" s="64">
        <v>0.8</v>
      </c>
      <c r="I26" s="64">
        <v>0.5</v>
      </c>
      <c r="J26" s="64">
        <v>0.2</v>
      </c>
      <c r="K26" s="68" t="s">
        <v>49</v>
      </c>
      <c r="L26" s="69"/>
    </row>
    <row r="27" s="4" customFormat="1" spans="6:12">
      <c r="F27" s="62" t="s">
        <v>50</v>
      </c>
      <c r="G27" s="64">
        <v>0.06</v>
      </c>
      <c r="H27" s="64">
        <v>0.85</v>
      </c>
      <c r="I27" s="64">
        <v>0.2</v>
      </c>
      <c r="J27" s="64">
        <v>0.5</v>
      </c>
      <c r="K27" s="68" t="s">
        <v>49</v>
      </c>
      <c r="L27" s="69"/>
    </row>
    <row r="28" s="4" customFormat="1" spans="1:12">
      <c r="A28" s="4" t="s">
        <v>31</v>
      </c>
      <c r="F28" s="62" t="s">
        <v>51</v>
      </c>
      <c r="G28" s="64">
        <v>0.03</v>
      </c>
      <c r="H28" s="64">
        <v>0.85</v>
      </c>
      <c r="I28" s="62" t="s">
        <v>47</v>
      </c>
      <c r="J28" s="64">
        <v>0.85</v>
      </c>
      <c r="K28" s="62" t="s">
        <v>47</v>
      </c>
      <c r="L28" s="67" t="s">
        <v>47</v>
      </c>
    </row>
    <row r="29" s="4" customFormat="1" spans="1:12">
      <c r="A29" s="4" t="s">
        <v>32</v>
      </c>
      <c r="L29" s="45"/>
    </row>
    <row r="30" s="4" customFormat="1" spans="12:12">
      <c r="L30" s="45"/>
    </row>
    <row r="31" s="4" customFormat="1" spans="1:12">
      <c r="A31" s="4" t="s">
        <v>33</v>
      </c>
      <c r="L31" s="45"/>
    </row>
    <row r="32" s="4" customFormat="1" spans="1:12">
      <c r="A32" s="24">
        <f>(M17+F4-C17)/0.13*1.13</f>
        <v>-621531.075</v>
      </c>
      <c r="L32" s="45"/>
    </row>
    <row r="33" s="4" customFormat="1" spans="12:12">
      <c r="L33" s="45"/>
    </row>
    <row r="34" s="4" customFormat="1" spans="12:12">
      <c r="L34" s="45"/>
    </row>
    <row r="35" s="4" customFormat="1" spans="12:12">
      <c r="L35" s="45"/>
    </row>
    <row r="36" s="4" customFormat="1" spans="12:12">
      <c r="L36" s="45"/>
    </row>
    <row r="37" s="4" customFormat="1" spans="12:12">
      <c r="L37" s="45"/>
    </row>
    <row r="38" s="4" customFormat="1" spans="12:12">
      <c r="L38" s="45"/>
    </row>
    <row r="39" s="4" customFormat="1" spans="12:12">
      <c r="L39" s="45"/>
    </row>
  </sheetData>
  <mergeCells count="14">
    <mergeCell ref="A3:D3"/>
    <mergeCell ref="J3:N3"/>
    <mergeCell ref="H23:L23"/>
    <mergeCell ref="K26:L26"/>
    <mergeCell ref="K27:L27"/>
    <mergeCell ref="E4:E9"/>
    <mergeCell ref="E11:E17"/>
    <mergeCell ref="F4:F16"/>
    <mergeCell ref="G5:G6"/>
    <mergeCell ref="G8:G9"/>
    <mergeCell ref="G11:G16"/>
    <mergeCell ref="H4:H16"/>
    <mergeCell ref="I4:I16"/>
    <mergeCell ref="A1:N2"/>
  </mergeCell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zoomScale="145" zoomScaleNormal="145" topLeftCell="F1" workbookViewId="0">
      <selection activeCell="J3" sqref="J3:N3"/>
    </sheetView>
  </sheetViews>
  <sheetFormatPr defaultColWidth="9" defaultRowHeight="13.8"/>
  <cols>
    <col min="1" max="1" width="26.8611111111111" customWidth="1"/>
    <col min="2" max="2" width="12.2222222222222" customWidth="1"/>
    <col min="3" max="3" width="16.4444444444444" customWidth="1"/>
    <col min="4" max="4" width="11.8888888888889" customWidth="1"/>
    <col min="5" max="5" width="16.4444444444444" customWidth="1"/>
    <col min="6" max="6" width="13.7777777777778" customWidth="1"/>
    <col min="7" max="7" width="13" customWidth="1"/>
    <col min="8" max="8" width="17.5555555555556" customWidth="1"/>
    <col min="9" max="9" width="19.7777777777778" customWidth="1"/>
    <col min="10" max="10" width="11.8888888888889" customWidth="1"/>
    <col min="11" max="11" width="18.6666666666667" customWidth="1"/>
    <col min="12" max="12" width="18.6666666666667" style="28" customWidth="1"/>
    <col min="13" max="13" width="10.5555555555556" customWidth="1"/>
    <col min="14" max="14" width="11.7777777777778" customWidth="1"/>
    <col min="15" max="15" width="10.7777777777778"/>
  </cols>
  <sheetData>
    <row r="1" spans="1:14">
      <c r="A1" s="5" t="s">
        <v>52</v>
      </c>
      <c r="B1" s="5"/>
      <c r="C1" s="5"/>
      <c r="D1" s="5"/>
      <c r="E1" s="5"/>
      <c r="F1" s="5"/>
      <c r="G1" s="5"/>
      <c r="H1" s="5"/>
      <c r="I1" s="5"/>
      <c r="J1" s="5"/>
      <c r="K1" s="5"/>
      <c r="L1" s="47"/>
      <c r="M1" s="5"/>
      <c r="N1" s="5"/>
    </row>
    <row r="2" spans="1: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7"/>
      <c r="M2" s="5"/>
      <c r="N2" s="5"/>
    </row>
    <row r="3" ht="21.6" spans="1:14">
      <c r="A3" s="6" t="s">
        <v>1</v>
      </c>
      <c r="B3" s="6"/>
      <c r="C3" s="6"/>
      <c r="D3" s="6"/>
      <c r="E3" s="29" t="s">
        <v>53</v>
      </c>
      <c r="F3" s="7" t="s">
        <v>3</v>
      </c>
      <c r="G3" s="6" t="s">
        <v>4</v>
      </c>
      <c r="H3" s="8" t="s">
        <v>36</v>
      </c>
      <c r="I3" s="8" t="s">
        <v>37</v>
      </c>
      <c r="J3" s="6" t="s">
        <v>54</v>
      </c>
      <c r="K3" s="6"/>
      <c r="L3" s="48"/>
      <c r="M3" s="6"/>
      <c r="N3" s="6"/>
    </row>
    <row r="4" ht="15.6" spans="1:14">
      <c r="A4" s="8" t="s">
        <v>7</v>
      </c>
      <c r="B4" s="8" t="s">
        <v>8</v>
      </c>
      <c r="C4" s="8" t="s">
        <v>9</v>
      </c>
      <c r="D4" s="8" t="s">
        <v>10</v>
      </c>
      <c r="E4" s="9">
        <v>0.018</v>
      </c>
      <c r="F4" s="30">
        <f>B17*E4</f>
        <v>63544.63842</v>
      </c>
      <c r="G4" s="31" t="s">
        <v>11</v>
      </c>
      <c r="H4" s="26">
        <f>F17-G17</f>
        <v>-214.59158</v>
      </c>
      <c r="I4" s="26">
        <f>C17-F17</f>
        <v>254178.61158</v>
      </c>
      <c r="J4" s="8" t="s">
        <v>12</v>
      </c>
      <c r="K4" s="8" t="s">
        <v>8</v>
      </c>
      <c r="L4" s="49" t="s">
        <v>13</v>
      </c>
      <c r="M4" s="8" t="s">
        <v>9</v>
      </c>
      <c r="N4" s="8" t="s">
        <v>10</v>
      </c>
    </row>
    <row r="5" spans="1:14">
      <c r="A5" s="8" t="s">
        <v>55</v>
      </c>
      <c r="B5" s="32">
        <v>3131105.55</v>
      </c>
      <c r="C5" s="32">
        <v>281799.56</v>
      </c>
      <c r="D5" s="8">
        <f>B5+C5</f>
        <v>3412905.11</v>
      </c>
      <c r="E5" s="9"/>
      <c r="F5" s="30"/>
      <c r="G5" s="33">
        <v>19237.1</v>
      </c>
      <c r="H5" s="26"/>
      <c r="I5" s="26"/>
      <c r="J5" s="8" t="s">
        <v>56</v>
      </c>
      <c r="K5" s="8">
        <f>297.03+1188.12</f>
        <v>1485.15</v>
      </c>
      <c r="L5" s="25"/>
      <c r="M5" s="8"/>
      <c r="N5" s="8">
        <f>K5+M5</f>
        <v>1485.15</v>
      </c>
    </row>
    <row r="6" spans="1:14">
      <c r="A6" s="8"/>
      <c r="B6" s="8"/>
      <c r="C6" s="8"/>
      <c r="D6" s="8">
        <f t="shared" ref="D6:D16" si="0">B6+C6</f>
        <v>0</v>
      </c>
      <c r="E6" s="9"/>
      <c r="F6" s="30"/>
      <c r="G6" s="34"/>
      <c r="H6" s="26"/>
      <c r="I6" s="26"/>
      <c r="J6" s="8" t="s">
        <v>57</v>
      </c>
      <c r="K6" s="8">
        <v>7238.96</v>
      </c>
      <c r="L6" s="25"/>
      <c r="M6" s="8"/>
      <c r="N6" s="8">
        <f t="shared" ref="N6:N16" si="1">K6+M6</f>
        <v>7238.96</v>
      </c>
    </row>
    <row r="7" spans="1:14">
      <c r="A7" s="8"/>
      <c r="B7" s="8"/>
      <c r="C7" s="8"/>
      <c r="D7" s="8">
        <f t="shared" si="0"/>
        <v>0</v>
      </c>
      <c r="E7" s="9"/>
      <c r="F7" s="30"/>
      <c r="G7" s="35" t="s">
        <v>58</v>
      </c>
      <c r="H7" s="26"/>
      <c r="I7" s="26"/>
      <c r="J7" s="50" t="s">
        <v>59</v>
      </c>
      <c r="K7" s="8">
        <v>148076</v>
      </c>
      <c r="L7" s="25">
        <f>K7/B17</f>
        <v>0.0419448133827307</v>
      </c>
      <c r="M7" s="8"/>
      <c r="N7" s="8">
        <f t="shared" si="1"/>
        <v>148076</v>
      </c>
    </row>
    <row r="8" spans="1:14">
      <c r="A8" s="8"/>
      <c r="B8" s="8"/>
      <c r="C8" s="8"/>
      <c r="D8" s="8">
        <f t="shared" si="0"/>
        <v>0</v>
      </c>
      <c r="E8" s="9"/>
      <c r="F8" s="30"/>
      <c r="G8" s="33"/>
      <c r="H8" s="26"/>
      <c r="I8" s="26"/>
      <c r="J8" s="8" t="s">
        <v>60</v>
      </c>
      <c r="K8" s="8">
        <v>4867.26</v>
      </c>
      <c r="L8" s="25"/>
      <c r="M8" s="8"/>
      <c r="N8" s="8">
        <f t="shared" si="1"/>
        <v>4867.26</v>
      </c>
    </row>
    <row r="9" spans="1:14">
      <c r="A9" s="8"/>
      <c r="B9" s="8"/>
      <c r="C9" s="8"/>
      <c r="D9" s="8">
        <f t="shared" si="0"/>
        <v>0</v>
      </c>
      <c r="E9" s="9"/>
      <c r="F9" s="30"/>
      <c r="G9" s="34"/>
      <c r="H9" s="26"/>
      <c r="I9" s="26"/>
      <c r="J9" s="8" t="s">
        <v>61</v>
      </c>
      <c r="K9" s="26">
        <v>17169.81</v>
      </c>
      <c r="L9" s="25"/>
      <c r="M9" s="8"/>
      <c r="N9" s="26">
        <f t="shared" si="1"/>
        <v>17169.81</v>
      </c>
    </row>
    <row r="10" ht="15.6" spans="1:14">
      <c r="A10" s="8"/>
      <c r="B10" s="8"/>
      <c r="C10" s="8"/>
      <c r="D10" s="8">
        <f t="shared" si="0"/>
        <v>0</v>
      </c>
      <c r="E10" s="13" t="s">
        <v>19</v>
      </c>
      <c r="F10" s="30"/>
      <c r="G10" s="31" t="s">
        <v>39</v>
      </c>
      <c r="H10" s="26"/>
      <c r="I10" s="26"/>
      <c r="J10" s="50" t="s">
        <v>62</v>
      </c>
      <c r="K10" s="8">
        <v>1271283.18</v>
      </c>
      <c r="L10" s="25">
        <f>K10/B17</f>
        <v>0.360110590113891</v>
      </c>
      <c r="M10" s="8"/>
      <c r="N10" s="8">
        <f t="shared" si="1"/>
        <v>1271283.18</v>
      </c>
    </row>
    <row r="11" spans="1:14">
      <c r="A11" s="8"/>
      <c r="B11" s="8"/>
      <c r="C11" s="8"/>
      <c r="D11" s="8">
        <f t="shared" si="0"/>
        <v>0</v>
      </c>
      <c r="E11" s="36">
        <f>G17/B17</f>
        <v>0.0180607863784584</v>
      </c>
      <c r="F11" s="30"/>
      <c r="G11" s="37">
        <f>M15</f>
        <v>44522.13</v>
      </c>
      <c r="H11" s="26"/>
      <c r="I11" s="26"/>
      <c r="J11" s="8" t="s">
        <v>63</v>
      </c>
      <c r="K11" s="8">
        <v>8681.42</v>
      </c>
      <c r="L11" s="25"/>
      <c r="M11" s="8"/>
      <c r="N11" s="8">
        <f t="shared" si="1"/>
        <v>8681.42</v>
      </c>
    </row>
    <row r="12" spans="1:14">
      <c r="A12" s="8"/>
      <c r="B12" s="8"/>
      <c r="C12" s="8"/>
      <c r="D12" s="8">
        <f t="shared" si="0"/>
        <v>0</v>
      </c>
      <c r="E12" s="38"/>
      <c r="F12" s="30"/>
      <c r="G12" s="39"/>
      <c r="H12" s="26"/>
      <c r="I12" s="26"/>
      <c r="J12" s="8" t="s">
        <v>64</v>
      </c>
      <c r="K12" s="8">
        <v>567678.9</v>
      </c>
      <c r="L12" s="25"/>
      <c r="M12" s="8"/>
      <c r="N12" s="8">
        <f t="shared" si="1"/>
        <v>567678.9</v>
      </c>
    </row>
    <row r="13" spans="1:14">
      <c r="A13" s="8">
        <v>9</v>
      </c>
      <c r="B13" s="32">
        <v>399152.14</v>
      </c>
      <c r="C13" s="32">
        <v>35923.69</v>
      </c>
      <c r="D13" s="8">
        <f t="shared" si="0"/>
        <v>435075.83</v>
      </c>
      <c r="E13" s="38"/>
      <c r="F13" s="30"/>
      <c r="G13" s="39"/>
      <c r="H13" s="26"/>
      <c r="I13" s="26"/>
      <c r="J13" s="8" t="s">
        <v>65</v>
      </c>
      <c r="K13" s="8">
        <v>64600.57</v>
      </c>
      <c r="L13" s="25"/>
      <c r="M13" s="8"/>
      <c r="N13" s="8">
        <f t="shared" si="1"/>
        <v>64600.57</v>
      </c>
    </row>
    <row r="14" spans="1:14">
      <c r="A14" s="8">
        <v>10</v>
      </c>
      <c r="B14" s="8"/>
      <c r="C14" s="8"/>
      <c r="D14" s="8">
        <f t="shared" si="0"/>
        <v>0</v>
      </c>
      <c r="E14" s="38"/>
      <c r="F14" s="30"/>
      <c r="G14" s="39"/>
      <c r="H14" s="26"/>
      <c r="I14" s="26"/>
      <c r="J14" s="8" t="s">
        <v>66</v>
      </c>
      <c r="K14" s="8">
        <v>377.36</v>
      </c>
      <c r="L14" s="25"/>
      <c r="M14" s="8"/>
      <c r="N14" s="8">
        <f t="shared" si="1"/>
        <v>377.36</v>
      </c>
    </row>
    <row r="15" spans="1:14">
      <c r="A15" s="8">
        <v>11</v>
      </c>
      <c r="B15" s="8"/>
      <c r="C15" s="8"/>
      <c r="D15" s="8">
        <f t="shared" si="0"/>
        <v>0</v>
      </c>
      <c r="E15" s="38"/>
      <c r="F15" s="30"/>
      <c r="G15" s="39"/>
      <c r="H15" s="26"/>
      <c r="I15" s="26"/>
      <c r="J15" s="8" t="s">
        <v>18</v>
      </c>
      <c r="K15" s="8">
        <v>342477.87</v>
      </c>
      <c r="L15" s="25">
        <f>K15/B17</f>
        <v>0.097012144742329</v>
      </c>
      <c r="M15" s="8">
        <v>44522.13</v>
      </c>
      <c r="N15" s="8">
        <f t="shared" si="1"/>
        <v>387000</v>
      </c>
    </row>
    <row r="16" spans="1:14">
      <c r="A16" s="8">
        <v>12</v>
      </c>
      <c r="B16" s="8"/>
      <c r="C16" s="8"/>
      <c r="D16" s="8">
        <f t="shared" si="0"/>
        <v>0</v>
      </c>
      <c r="E16" s="38"/>
      <c r="F16" s="30"/>
      <c r="G16" s="40"/>
      <c r="H16" s="26"/>
      <c r="I16" s="26"/>
      <c r="J16" s="8"/>
      <c r="K16" s="8"/>
      <c r="L16" s="25"/>
      <c r="M16" s="8"/>
      <c r="N16" s="8">
        <f t="shared" si="1"/>
        <v>0</v>
      </c>
    </row>
    <row r="17" spans="1:14">
      <c r="A17" s="8" t="s">
        <v>21</v>
      </c>
      <c r="B17" s="8">
        <f>SUM(B5:B16)</f>
        <v>3530257.69</v>
      </c>
      <c r="C17" s="27">
        <f>SUM(C5:C16)</f>
        <v>317723.25</v>
      </c>
      <c r="D17" s="8">
        <f>SUM(D5:D16)</f>
        <v>3847980.94</v>
      </c>
      <c r="E17" s="41"/>
      <c r="F17" s="42">
        <f>SUM(F4)</f>
        <v>63544.63842</v>
      </c>
      <c r="G17" s="43">
        <f>G5+G8+G11</f>
        <v>63759.23</v>
      </c>
      <c r="H17" s="42">
        <f>SUM(H4)</f>
        <v>-214.59158</v>
      </c>
      <c r="I17" s="51">
        <f>SUM(I4)</f>
        <v>254178.61158</v>
      </c>
      <c r="J17" s="8"/>
      <c r="K17" s="8">
        <f>SUM(K5:K16)</f>
        <v>2433936.48</v>
      </c>
      <c r="L17" s="25"/>
      <c r="M17" s="27">
        <f>SUM(M5:M16)</f>
        <v>44522.13</v>
      </c>
      <c r="N17" s="8">
        <f t="shared" ref="N17" si="2">SUM(N5:N16)</f>
        <v>2478458.61</v>
      </c>
    </row>
    <row r="20" customFormat="1" spans="1:12">
      <c r="A20" s="44" t="s">
        <v>67</v>
      </c>
      <c r="L20" s="28"/>
    </row>
    <row r="21" s="4" customFormat="1" ht="41.4" spans="1:12">
      <c r="A21" s="4" t="s">
        <v>22</v>
      </c>
      <c r="B21" s="4" t="s">
        <v>23</v>
      </c>
      <c r="C21" s="4" t="s">
        <v>24</v>
      </c>
      <c r="D21" s="4" t="s">
        <v>25</v>
      </c>
      <c r="E21" s="22" t="s">
        <v>26</v>
      </c>
      <c r="F21" s="4" t="s">
        <v>68</v>
      </c>
      <c r="G21" s="4" t="s">
        <v>69</v>
      </c>
      <c r="H21" s="4" t="s">
        <v>70</v>
      </c>
      <c r="I21" s="4" t="s">
        <v>71</v>
      </c>
      <c r="J21" s="52" t="s">
        <v>72</v>
      </c>
      <c r="K21" s="4" t="s">
        <v>73</v>
      </c>
      <c r="L21" s="45"/>
    </row>
    <row r="22" s="4" customFormat="1" spans="1:12">
      <c r="A22" s="4">
        <f>D17</f>
        <v>3847980.94</v>
      </c>
      <c r="B22" s="45">
        <v>0.018</v>
      </c>
      <c r="C22" s="24">
        <f>F17</f>
        <v>63544.63842</v>
      </c>
      <c r="D22" s="24">
        <f>G17</f>
        <v>63759.23</v>
      </c>
      <c r="E22" s="46">
        <f>H17</f>
        <v>-214.59158</v>
      </c>
      <c r="F22" s="4">
        <f>D13</f>
        <v>435075.83</v>
      </c>
      <c r="G22" s="4">
        <f>C13</f>
        <v>35923.69</v>
      </c>
      <c r="H22" s="4">
        <v>10476.75</v>
      </c>
      <c r="I22" s="4">
        <v>0</v>
      </c>
      <c r="J22" s="22">
        <v>25516.33</v>
      </c>
      <c r="K22" s="4">
        <f>G22-J22-H22+I22</f>
        <v>-69.3899999999994</v>
      </c>
      <c r="L22" s="45"/>
    </row>
    <row r="23" s="4" customFormat="1" spans="8:12">
      <c r="H23" s="4" t="s">
        <v>74</v>
      </c>
      <c r="L23" s="45"/>
    </row>
    <row r="24" s="4" customFormat="1" spans="8:12">
      <c r="H24" s="4">
        <v>61096.04</v>
      </c>
      <c r="L24" s="45"/>
    </row>
    <row r="25" s="4" customFormat="1" spans="8:12">
      <c r="H25" s="4" t="s">
        <v>75</v>
      </c>
      <c r="L25" s="45"/>
    </row>
    <row r="26" s="4" customFormat="1" spans="8:12">
      <c r="H26" s="24">
        <f>H24/0.09</f>
        <v>678844.888888889</v>
      </c>
      <c r="L26" s="45"/>
    </row>
    <row r="27" customFormat="1" spans="1:12">
      <c r="A27" s="44" t="s">
        <v>76</v>
      </c>
      <c r="L27" s="28"/>
    </row>
    <row r="28" s="4" customFormat="1" ht="41.4" spans="1:13">
      <c r="A28" s="4" t="s">
        <v>22</v>
      </c>
      <c r="B28" s="4" t="s">
        <v>23</v>
      </c>
      <c r="C28" s="4" t="s">
        <v>24</v>
      </c>
      <c r="D28" s="4" t="s">
        <v>25</v>
      </c>
      <c r="E28" s="22" t="s">
        <v>26</v>
      </c>
      <c r="F28" s="4" t="s">
        <v>68</v>
      </c>
      <c r="G28" s="4" t="s">
        <v>69</v>
      </c>
      <c r="H28" s="4" t="s">
        <v>70</v>
      </c>
      <c r="I28" s="4" t="s">
        <v>71</v>
      </c>
      <c r="J28" s="52" t="s">
        <v>72</v>
      </c>
      <c r="K28" s="4" t="s">
        <v>73</v>
      </c>
      <c r="L28" s="45"/>
      <c r="M28" s="4" t="s">
        <v>77</v>
      </c>
    </row>
    <row r="29" s="4" customFormat="1" spans="1:15">
      <c r="A29" s="4">
        <f>D17</f>
        <v>3847980.94</v>
      </c>
      <c r="B29" s="45">
        <v>0.018</v>
      </c>
      <c r="C29" s="24">
        <f>F17</f>
        <v>63544.63842</v>
      </c>
      <c r="D29" s="24">
        <f>G17</f>
        <v>63759.23</v>
      </c>
      <c r="E29" s="46">
        <f>H17</f>
        <v>-214.59158</v>
      </c>
      <c r="F29" s="4">
        <f>D13</f>
        <v>435075.83</v>
      </c>
      <c r="G29" s="4">
        <f>C13</f>
        <v>35923.69</v>
      </c>
      <c r="H29" s="4">
        <v>10476.75</v>
      </c>
      <c r="I29" s="4">
        <v>0</v>
      </c>
      <c r="J29" s="22">
        <v>15000</v>
      </c>
      <c r="K29" s="53">
        <f>G29-J29-H29+I29</f>
        <v>10446.94</v>
      </c>
      <c r="L29" s="54"/>
      <c r="M29" s="4" t="s">
        <v>8</v>
      </c>
      <c r="N29" s="4" t="s">
        <v>9</v>
      </c>
      <c r="O29" s="4" t="s">
        <v>10</v>
      </c>
    </row>
    <row r="30" s="4" customFormat="1" spans="8:15">
      <c r="H30" s="4" t="s">
        <v>74</v>
      </c>
      <c r="L30" s="45"/>
      <c r="M30" s="24">
        <f>O30/1.13</f>
        <v>44247.7876106195</v>
      </c>
      <c r="N30" s="24">
        <f>M30*0.13</f>
        <v>5752.21238938053</v>
      </c>
      <c r="O30" s="24">
        <v>50000</v>
      </c>
    </row>
    <row r="31" s="4" customFormat="1" spans="8:15">
      <c r="H31" s="4">
        <v>0</v>
      </c>
      <c r="L31" s="45"/>
      <c r="M31" s="24"/>
      <c r="N31" s="24"/>
      <c r="O31" s="24"/>
    </row>
    <row r="32" s="4" customFormat="1" spans="8:15">
      <c r="H32" s="4" t="s">
        <v>75</v>
      </c>
      <c r="L32" s="45"/>
      <c r="M32" s="24"/>
      <c r="N32" s="24"/>
      <c r="O32" s="24"/>
    </row>
    <row r="33" s="4" customFormat="1" spans="8:15">
      <c r="H33" s="24">
        <f>H31/0.09</f>
        <v>0</v>
      </c>
      <c r="L33" s="45"/>
      <c r="M33" s="24"/>
      <c r="N33" s="24"/>
      <c r="O33" s="24"/>
    </row>
    <row r="34" s="4" customFormat="1" spans="11:15">
      <c r="K34" s="4" t="s">
        <v>78</v>
      </c>
      <c r="L34" s="45"/>
      <c r="M34" s="24">
        <f>SUM(M30:M33)</f>
        <v>44247.7876106195</v>
      </c>
      <c r="N34" s="24">
        <f>SUM(N30:N33)</f>
        <v>5752.21238938053</v>
      </c>
      <c r="O34" s="24">
        <f>SUM(O30:O33)</f>
        <v>50000</v>
      </c>
    </row>
    <row r="35" s="4" customFormat="1" spans="1:14">
      <c r="A35" s="4" t="s">
        <v>27</v>
      </c>
      <c r="K35" s="22" t="s">
        <v>79</v>
      </c>
      <c r="L35" s="55"/>
      <c r="M35" s="22"/>
      <c r="N35" s="56">
        <f>K29-N34</f>
        <v>4694.72761061947</v>
      </c>
    </row>
    <row r="36" s="4" customFormat="1" spans="1:12">
      <c r="A36" s="4" t="s">
        <v>28</v>
      </c>
      <c r="L36" s="45"/>
    </row>
    <row r="37" s="4" customFormat="1" spans="1:12">
      <c r="A37" s="4" t="s">
        <v>29</v>
      </c>
      <c r="L37" s="45"/>
    </row>
    <row r="38" s="4" customFormat="1" spans="1:12">
      <c r="A38" s="4" t="s">
        <v>30</v>
      </c>
      <c r="L38" s="45"/>
    </row>
    <row r="39" s="4" customFormat="1" spans="12:12">
      <c r="L39" s="45"/>
    </row>
    <row r="40" s="4" customFormat="1" spans="12:12">
      <c r="L40" s="45"/>
    </row>
    <row r="41" s="4" customFormat="1" spans="1:12">
      <c r="A41" s="4" t="s">
        <v>31</v>
      </c>
      <c r="C41" s="46">
        <f>H24+H26</f>
        <v>739940.928888889</v>
      </c>
      <c r="L41" s="45"/>
    </row>
    <row r="42" spans="1:4">
      <c r="A42" s="4" t="s">
        <v>32</v>
      </c>
      <c r="B42" s="4"/>
      <c r="C42" s="4"/>
      <c r="D42" s="4"/>
    </row>
    <row r="43" spans="1:4">
      <c r="A43" s="4"/>
      <c r="B43" s="4"/>
      <c r="C43" s="4"/>
      <c r="D43" s="4"/>
    </row>
    <row r="44" spans="1:4">
      <c r="A44" s="4" t="s">
        <v>33</v>
      </c>
      <c r="B44" s="4"/>
      <c r="C44" s="4"/>
      <c r="D44" s="4"/>
    </row>
    <row r="45" spans="1:4">
      <c r="A45" s="24">
        <f>(M17+F4-C17)/0.13*1.13</f>
        <v>-1822398.64758</v>
      </c>
      <c r="B45" s="4"/>
      <c r="C45" s="4"/>
      <c r="D45" s="4"/>
    </row>
    <row r="46" spans="1:4">
      <c r="A46" s="4"/>
      <c r="B46" s="4"/>
      <c r="C46" s="4"/>
      <c r="D46" s="4"/>
    </row>
    <row r="47" spans="1:4">
      <c r="A47" s="4"/>
      <c r="B47" s="4"/>
      <c r="C47" s="4"/>
      <c r="D47" s="4"/>
    </row>
    <row r="48" spans="1:4">
      <c r="A48" s="4"/>
      <c r="B48" s="4"/>
      <c r="C48" s="4"/>
      <c r="D48" s="4"/>
    </row>
    <row r="49" spans="1:4">
      <c r="A49" s="4"/>
      <c r="B49" s="4"/>
      <c r="C49" s="4"/>
      <c r="D49" s="4"/>
    </row>
    <row r="50" spans="1:4">
      <c r="A50" s="4"/>
      <c r="B50" s="4"/>
      <c r="C50" s="4"/>
      <c r="D50" s="4"/>
    </row>
    <row r="51" spans="1:4">
      <c r="A51" s="4"/>
      <c r="B51" s="4"/>
      <c r="C51" s="4"/>
      <c r="D51" s="4"/>
    </row>
    <row r="52" spans="1:4">
      <c r="A52" s="4"/>
      <c r="B52" s="4"/>
      <c r="C52" s="4"/>
      <c r="D52" s="4"/>
    </row>
  </sheetData>
  <mergeCells count="11">
    <mergeCell ref="A3:D3"/>
    <mergeCell ref="J3:N3"/>
    <mergeCell ref="E4:E9"/>
    <mergeCell ref="E11:E17"/>
    <mergeCell ref="F4:F16"/>
    <mergeCell ref="G5:G6"/>
    <mergeCell ref="G8:G9"/>
    <mergeCell ref="G11:G16"/>
    <mergeCell ref="H4:H16"/>
    <mergeCell ref="I4:I16"/>
    <mergeCell ref="A1:N2"/>
  </mergeCells>
  <pageMargins left="0.7" right="0.7" top="0.75" bottom="0.75" header="0.3" footer="0.3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zoomScale="130" zoomScaleNormal="130" workbookViewId="0">
      <selection activeCell="N5" sqref="N5:N18"/>
    </sheetView>
  </sheetViews>
  <sheetFormatPr defaultColWidth="9" defaultRowHeight="13.8"/>
  <cols>
    <col min="1" max="1" width="12.8796296296296" customWidth="1"/>
    <col min="2" max="2" width="8.5" customWidth="1"/>
    <col min="3" max="3" width="15.1296296296296" customWidth="1"/>
    <col min="4" max="4" width="11.6296296296296" customWidth="1"/>
    <col min="5" max="5" width="15.1296296296296" customWidth="1"/>
    <col min="6" max="6" width="14.1296296296296" customWidth="1"/>
    <col min="7" max="7" width="14.75" customWidth="1"/>
    <col min="8" max="8" width="16.25" customWidth="1"/>
    <col min="9" max="9" width="19.7777777777778" customWidth="1"/>
    <col min="11" max="12" width="12.75" customWidth="1"/>
    <col min="13" max="13" width="7.5" customWidth="1"/>
    <col min="14" max="14" width="12.75" customWidth="1"/>
  </cols>
  <sheetData>
    <row r="1" spans="1:14">
      <c r="A1" s="5" t="s">
        <v>80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6" t="s">
        <v>1</v>
      </c>
      <c r="B3" s="6"/>
      <c r="C3" s="6"/>
      <c r="D3" s="6"/>
      <c r="E3" s="7" t="s">
        <v>81</v>
      </c>
      <c r="F3" s="7" t="s">
        <v>3</v>
      </c>
      <c r="G3" s="6" t="s">
        <v>4</v>
      </c>
      <c r="H3" s="8" t="s">
        <v>36</v>
      </c>
      <c r="I3" s="8" t="s">
        <v>37</v>
      </c>
      <c r="J3" s="6" t="s">
        <v>6</v>
      </c>
      <c r="K3" s="6"/>
      <c r="L3" s="6"/>
      <c r="M3" s="6"/>
      <c r="N3" s="6"/>
    </row>
    <row r="4" ht="15.6" spans="1:14">
      <c r="A4" s="8" t="s">
        <v>7</v>
      </c>
      <c r="B4" s="8" t="s">
        <v>8</v>
      </c>
      <c r="C4" s="8" t="s">
        <v>9</v>
      </c>
      <c r="D4" s="8" t="s">
        <v>10</v>
      </c>
      <c r="E4" s="9">
        <v>0.035</v>
      </c>
      <c r="F4" s="7">
        <f>B17*E4</f>
        <v>35000</v>
      </c>
      <c r="G4" s="10" t="s">
        <v>11</v>
      </c>
      <c r="H4" s="8">
        <f>F17-G17</f>
        <v>35000</v>
      </c>
      <c r="I4" s="8">
        <f>C17-F17</f>
        <v>55000</v>
      </c>
      <c r="J4" s="8" t="s">
        <v>12</v>
      </c>
      <c r="K4" s="8" t="s">
        <v>8</v>
      </c>
      <c r="L4" s="8" t="s">
        <v>13</v>
      </c>
      <c r="M4" s="8" t="s">
        <v>9</v>
      </c>
      <c r="N4" s="8" t="s">
        <v>10</v>
      </c>
    </row>
    <row r="5" spans="1:14">
      <c r="A5" s="8">
        <v>1</v>
      </c>
      <c r="B5" s="8">
        <v>1000000</v>
      </c>
      <c r="C5" s="8">
        <f>B5*0.09</f>
        <v>90000</v>
      </c>
      <c r="D5" s="8">
        <f>B5+C5</f>
        <v>1090000</v>
      </c>
      <c r="E5" s="9"/>
      <c r="F5" s="7"/>
      <c r="G5" s="11"/>
      <c r="H5" s="8"/>
      <c r="I5" s="8"/>
      <c r="J5" s="8" t="s">
        <v>38</v>
      </c>
      <c r="K5" s="8"/>
      <c r="L5" s="25">
        <f>K5/B17</f>
        <v>0</v>
      </c>
      <c r="M5" s="8">
        <f>K5*0.13</f>
        <v>0</v>
      </c>
      <c r="N5" s="8">
        <f>K5+M5</f>
        <v>0</v>
      </c>
    </row>
    <row r="6" spans="1:14">
      <c r="A6" s="8">
        <v>2</v>
      </c>
      <c r="B6" s="8"/>
      <c r="C6" s="8"/>
      <c r="D6" s="8">
        <f t="shared" ref="D6:D16" si="0">B6+C6</f>
        <v>0</v>
      </c>
      <c r="E6" s="9"/>
      <c r="F6" s="7"/>
      <c r="G6" s="12"/>
      <c r="H6" s="8"/>
      <c r="I6" s="8"/>
      <c r="J6" s="8" t="s">
        <v>16</v>
      </c>
      <c r="K6" s="8"/>
      <c r="L6" s="25"/>
      <c r="M6" s="8"/>
      <c r="N6" s="8">
        <f t="shared" ref="N6:N16" si="1">K6+M6</f>
        <v>0</v>
      </c>
    </row>
    <row r="7" spans="1:14">
      <c r="A7" s="8">
        <v>3</v>
      </c>
      <c r="B7" s="8"/>
      <c r="C7" s="8"/>
      <c r="D7" s="8">
        <f t="shared" si="0"/>
        <v>0</v>
      </c>
      <c r="E7" s="9"/>
      <c r="F7" s="7"/>
      <c r="G7" s="7" t="s">
        <v>17</v>
      </c>
      <c r="H7" s="8"/>
      <c r="I7" s="8"/>
      <c r="J7" s="8" t="s">
        <v>18</v>
      </c>
      <c r="K7" s="8"/>
      <c r="L7" s="25"/>
      <c r="M7" s="8">
        <f>K7*0.13</f>
        <v>0</v>
      </c>
      <c r="N7" s="8">
        <f t="shared" si="1"/>
        <v>0</v>
      </c>
    </row>
    <row r="8" spans="1:14">
      <c r="A8" s="8">
        <v>4</v>
      </c>
      <c r="B8" s="8"/>
      <c r="C8" s="8"/>
      <c r="D8" s="8">
        <f t="shared" si="0"/>
        <v>0</v>
      </c>
      <c r="E8" s="9"/>
      <c r="F8" s="7"/>
      <c r="G8" s="11"/>
      <c r="H8" s="8"/>
      <c r="I8" s="8"/>
      <c r="J8" s="8"/>
      <c r="K8" s="8"/>
      <c r="L8" s="25"/>
      <c r="M8" s="8"/>
      <c r="N8" s="8">
        <f t="shared" si="1"/>
        <v>0</v>
      </c>
    </row>
    <row r="9" spans="1:14">
      <c r="A9" s="8">
        <v>5</v>
      </c>
      <c r="B9" s="8"/>
      <c r="C9" s="8"/>
      <c r="D9" s="8">
        <f t="shared" si="0"/>
        <v>0</v>
      </c>
      <c r="E9" s="9"/>
      <c r="F9" s="7"/>
      <c r="G9" s="12"/>
      <c r="H9" s="8"/>
      <c r="I9" s="8"/>
      <c r="J9" s="8"/>
      <c r="K9" s="26"/>
      <c r="L9" s="25"/>
      <c r="M9" s="8"/>
      <c r="N9" s="26">
        <f t="shared" si="1"/>
        <v>0</v>
      </c>
    </row>
    <row r="10" ht="15.6" spans="1:14">
      <c r="A10" s="8">
        <v>6</v>
      </c>
      <c r="B10" s="8"/>
      <c r="C10" s="8"/>
      <c r="D10" s="8">
        <f t="shared" si="0"/>
        <v>0</v>
      </c>
      <c r="E10" s="13" t="s">
        <v>19</v>
      </c>
      <c r="F10" s="7"/>
      <c r="G10" s="10" t="s">
        <v>39</v>
      </c>
      <c r="H10" s="8"/>
      <c r="I10" s="8"/>
      <c r="J10" s="8"/>
      <c r="K10" s="8"/>
      <c r="L10" s="25"/>
      <c r="M10" s="8"/>
      <c r="N10" s="8">
        <f t="shared" si="1"/>
        <v>0</v>
      </c>
    </row>
    <row r="11" spans="1:14">
      <c r="A11" s="8">
        <v>7</v>
      </c>
      <c r="B11" s="8"/>
      <c r="C11" s="8"/>
      <c r="D11" s="8">
        <f t="shared" si="0"/>
        <v>0</v>
      </c>
      <c r="E11" s="14">
        <f>G17/B17</f>
        <v>0</v>
      </c>
      <c r="F11" s="7"/>
      <c r="G11" s="15"/>
      <c r="H11" s="8"/>
      <c r="I11" s="8"/>
      <c r="J11" s="8"/>
      <c r="K11" s="8"/>
      <c r="L11" s="25"/>
      <c r="M11" s="8"/>
      <c r="N11" s="8">
        <f t="shared" si="1"/>
        <v>0</v>
      </c>
    </row>
    <row r="12" spans="1:14">
      <c r="A12" s="8">
        <v>8</v>
      </c>
      <c r="B12" s="8"/>
      <c r="C12" s="8"/>
      <c r="D12" s="8">
        <f t="shared" si="0"/>
        <v>0</v>
      </c>
      <c r="E12" s="16"/>
      <c r="F12" s="7"/>
      <c r="G12" s="17"/>
      <c r="H12" s="8"/>
      <c r="I12" s="8"/>
      <c r="J12" s="8"/>
      <c r="K12" s="8"/>
      <c r="L12" s="25"/>
      <c r="M12" s="8"/>
      <c r="N12" s="8">
        <f t="shared" si="1"/>
        <v>0</v>
      </c>
    </row>
    <row r="13" spans="1:14">
      <c r="A13" s="8">
        <v>9</v>
      </c>
      <c r="B13" s="8"/>
      <c r="C13" s="8"/>
      <c r="D13" s="8">
        <f t="shared" si="0"/>
        <v>0</v>
      </c>
      <c r="E13" s="16"/>
      <c r="F13" s="7"/>
      <c r="G13" s="17"/>
      <c r="H13" s="8"/>
      <c r="I13" s="8"/>
      <c r="J13" s="8"/>
      <c r="K13" s="8"/>
      <c r="L13" s="25"/>
      <c r="M13" s="8"/>
      <c r="N13" s="8">
        <f t="shared" si="1"/>
        <v>0</v>
      </c>
    </row>
    <row r="14" spans="1:14">
      <c r="A14" s="8">
        <v>10</v>
      </c>
      <c r="B14" s="8"/>
      <c r="C14" s="8"/>
      <c r="D14" s="8">
        <f t="shared" si="0"/>
        <v>0</v>
      </c>
      <c r="E14" s="16"/>
      <c r="F14" s="7"/>
      <c r="G14" s="17"/>
      <c r="H14" s="8"/>
      <c r="I14" s="8"/>
      <c r="J14" s="8"/>
      <c r="K14" s="8"/>
      <c r="L14" s="25"/>
      <c r="M14" s="8"/>
      <c r="N14" s="8">
        <f t="shared" si="1"/>
        <v>0</v>
      </c>
    </row>
    <row r="15" spans="1:14">
      <c r="A15" s="8">
        <v>11</v>
      </c>
      <c r="B15" s="8"/>
      <c r="C15" s="8"/>
      <c r="D15" s="8">
        <f t="shared" si="0"/>
        <v>0</v>
      </c>
      <c r="E15" s="16"/>
      <c r="F15" s="7"/>
      <c r="G15" s="17"/>
      <c r="H15" s="8"/>
      <c r="I15" s="8"/>
      <c r="J15" s="8"/>
      <c r="K15" s="8"/>
      <c r="L15" s="25"/>
      <c r="M15" s="8"/>
      <c r="N15" s="8">
        <f t="shared" si="1"/>
        <v>0</v>
      </c>
    </row>
    <row r="16" spans="1:14">
      <c r="A16" s="8">
        <v>12</v>
      </c>
      <c r="B16" s="8"/>
      <c r="C16" s="8"/>
      <c r="D16" s="8">
        <f t="shared" si="0"/>
        <v>0</v>
      </c>
      <c r="E16" s="16"/>
      <c r="F16" s="7"/>
      <c r="G16" s="18"/>
      <c r="H16" s="8"/>
      <c r="I16" s="8"/>
      <c r="J16" s="8"/>
      <c r="K16" s="8"/>
      <c r="L16" s="25"/>
      <c r="M16" s="8"/>
      <c r="N16" s="8">
        <f t="shared" si="1"/>
        <v>0</v>
      </c>
    </row>
    <row r="17" spans="1:14">
      <c r="A17" s="8" t="s">
        <v>21</v>
      </c>
      <c r="B17" s="8">
        <f>SUM(B5:B16)</f>
        <v>1000000</v>
      </c>
      <c r="C17" s="19">
        <f>SUM(C5:C16)</f>
        <v>90000</v>
      </c>
      <c r="D17" s="8">
        <f>SUM(D5:D16)</f>
        <v>1090000</v>
      </c>
      <c r="E17" s="20"/>
      <c r="F17" s="21">
        <f>SUM(F4)</f>
        <v>35000</v>
      </c>
      <c r="G17" s="21">
        <f>G5+G8+G11</f>
        <v>0</v>
      </c>
      <c r="H17" s="21">
        <f>SUM(H4)</f>
        <v>35000</v>
      </c>
      <c r="I17" s="27">
        <f>SUM(I4)</f>
        <v>55000</v>
      </c>
      <c r="J17" s="8"/>
      <c r="K17" s="8">
        <f>SUM(K5:K16)</f>
        <v>0</v>
      </c>
      <c r="L17" s="25"/>
      <c r="M17" s="27">
        <f>SUM(M5:M16)</f>
        <v>0</v>
      </c>
      <c r="N17" s="8">
        <f t="shared" ref="N17" si="2">SUM(N5:N16)</f>
        <v>0</v>
      </c>
    </row>
    <row r="19" s="4" customFormat="1" spans="1:5">
      <c r="A19" s="4" t="s">
        <v>22</v>
      </c>
      <c r="B19" s="4" t="s">
        <v>23</v>
      </c>
      <c r="C19" s="4" t="s">
        <v>24</v>
      </c>
      <c r="D19" s="4" t="s">
        <v>25</v>
      </c>
      <c r="E19" s="22" t="s">
        <v>26</v>
      </c>
    </row>
    <row r="20" s="4" customFormat="1" spans="1:5">
      <c r="A20" s="4">
        <f>D5</f>
        <v>1090000</v>
      </c>
      <c r="B20" s="23">
        <f>E4</f>
        <v>0.035</v>
      </c>
      <c r="C20" s="4">
        <f>F17</f>
        <v>35000</v>
      </c>
      <c r="D20" s="4">
        <f>G17</f>
        <v>0</v>
      </c>
      <c r="E20" s="22">
        <f>H17</f>
        <v>35000</v>
      </c>
    </row>
    <row r="21" s="4" customFormat="1"/>
    <row r="22" s="4" customFormat="1" spans="1:1">
      <c r="A22" s="4" t="s">
        <v>27</v>
      </c>
    </row>
    <row r="23" s="4" customFormat="1" spans="1:2">
      <c r="A23" s="4" t="s">
        <v>28</v>
      </c>
      <c r="B23" s="4">
        <f>N5</f>
        <v>0</v>
      </c>
    </row>
    <row r="24" s="4" customFormat="1" spans="1:2">
      <c r="A24" s="4" t="s">
        <v>29</v>
      </c>
      <c r="B24" s="4">
        <f>N6</f>
        <v>0</v>
      </c>
    </row>
    <row r="25" s="4" customFormat="1" spans="1:2">
      <c r="A25" s="4" t="s">
        <v>30</v>
      </c>
      <c r="B25" s="4">
        <f>N7</f>
        <v>0</v>
      </c>
    </row>
    <row r="26" s="4" customFormat="1"/>
    <row r="27" s="4" customFormat="1"/>
    <row r="28" s="4" customFormat="1" spans="1:1">
      <c r="A28" s="4" t="s">
        <v>31</v>
      </c>
    </row>
    <row r="29" s="4" customFormat="1" spans="1:1">
      <c r="A29" s="4" t="s">
        <v>32</v>
      </c>
    </row>
    <row r="30" s="4" customFormat="1"/>
    <row r="31" s="4" customFormat="1" spans="1:1">
      <c r="A31" s="4" t="s">
        <v>33</v>
      </c>
    </row>
    <row r="32" s="4" customFormat="1" spans="1:1">
      <c r="A32" s="24">
        <f>(M17+F4-C17)/0.13*1.13</f>
        <v>-478076.923076923</v>
      </c>
    </row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</sheetData>
  <mergeCells count="11">
    <mergeCell ref="A3:D3"/>
    <mergeCell ref="J3:N3"/>
    <mergeCell ref="E4:E9"/>
    <mergeCell ref="E11:E17"/>
    <mergeCell ref="F4:F16"/>
    <mergeCell ref="G5:G6"/>
    <mergeCell ref="G8:G9"/>
    <mergeCell ref="G11:G16"/>
    <mergeCell ref="H4:H16"/>
    <mergeCell ref="I4:I16"/>
    <mergeCell ref="A1:N2"/>
  </mergeCells>
  <pageMargins left="0.7" right="0.7" top="0.75" bottom="0.75" header="0.3" footer="0.3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zoomScale="205" zoomScaleNormal="205" workbookViewId="0">
      <selection activeCell="A1" sqref="A1"/>
    </sheetView>
  </sheetViews>
  <sheetFormatPr defaultColWidth="8.88888888888889" defaultRowHeight="13.8" outlineLevelRow="6" outlineLevelCol="1"/>
  <cols>
    <col min="1" max="1" width="50.1111111111111" customWidth="1"/>
    <col min="2" max="2" width="33.3888888888889" customWidth="1"/>
  </cols>
  <sheetData>
    <row r="1" spans="1:1">
      <c r="A1" t="s">
        <v>82</v>
      </c>
    </row>
    <row r="2" spans="1:1">
      <c r="A2" s="1" t="s">
        <v>83</v>
      </c>
    </row>
    <row r="3" ht="41.4" spans="1:2">
      <c r="A3" s="2" t="s">
        <v>84</v>
      </c>
      <c r="B3" s="2" t="s">
        <v>85</v>
      </c>
    </row>
    <row r="4" ht="41.4" spans="1:2">
      <c r="A4" s="3" t="s">
        <v>86</v>
      </c>
      <c r="B4" s="3" t="s">
        <v>87</v>
      </c>
    </row>
    <row r="5" ht="42" spans="1:2">
      <c r="A5" s="3" t="s">
        <v>88</v>
      </c>
      <c r="B5" s="2" t="s">
        <v>89</v>
      </c>
    </row>
    <row r="6" ht="27.6" spans="1:1">
      <c r="A6" s="2" t="s">
        <v>90</v>
      </c>
    </row>
    <row r="7" spans="1:1">
      <c r="A7" t="s">
        <v>91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商贸税负平衡表</vt:lpstr>
      <vt:lpstr>建筑税负平衡</vt:lpstr>
      <vt:lpstr>物流税负平衡</vt:lpstr>
      <vt:lpstr>制造业税负平衡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Titan</dc:creator>
  <cp:lastModifiedBy>高玉婷，专业总账会计培训，代账</cp:lastModifiedBy>
  <dcterms:created xsi:type="dcterms:W3CDTF">2015-06-05T18:19:00Z</dcterms:created>
  <dcterms:modified xsi:type="dcterms:W3CDTF">2024-11-06T14:18:19Z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2F0CED4423AB477AB68AA4958485B179_13</vt:lpwstr>
  </property>
  <property fmtid="{D5CDD505-2E9C-101B-9397-08002B2CF9AE}" pid="3" name="KSOProductBuildVer">
    <vt:lpwstr>2052-12.1.0.18608</vt:lpwstr>
  </property>
</Properties>
</file>